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805" activeTab="0"/>
  </bookViews>
  <sheets>
    <sheet name="ACOST3" sheetId="1" r:id="rId1"/>
  </sheets>
  <definedNames/>
  <calcPr fullCalcOnLoad="1"/>
</workbook>
</file>

<file path=xl/sharedStrings.xml><?xml version="1.0" encoding="utf-8"?>
<sst xmlns="http://schemas.openxmlformats.org/spreadsheetml/2006/main" count="251" uniqueCount="141">
  <si>
    <t>Automatic Calculation of Slash Tonnage</t>
  </si>
  <si>
    <t>Ver 3.0  4/93</t>
  </si>
  <si>
    <t>Questions call 945-7448</t>
  </si>
  <si>
    <t xml:space="preserve">   Harvest Date</t>
  </si>
  <si>
    <t>Date 70% cutting was complete,month/year</t>
  </si>
  <si>
    <t>10hr</t>
  </si>
  <si>
    <t>Measured fuel moisture of .25" to 1" fuels</t>
  </si>
  <si>
    <t xml:space="preserve">  Snow Off Date</t>
  </si>
  <si>
    <t>Month unit last had snow</t>
  </si>
  <si>
    <t>1000hr</t>
  </si>
  <si>
    <t>Fuel moisture of 3" plus fuels</t>
  </si>
  <si>
    <t xml:space="preserve"> </t>
  </si>
  <si>
    <t>Ignition Duration</t>
  </si>
  <si>
    <t>Total ignition time</t>
  </si>
  <si>
    <t xml:space="preserve">      Wind Speed</t>
  </si>
  <si>
    <t>Midflame wind speed</t>
  </si>
  <si>
    <t xml:space="preserve">  Percent Slope</t>
  </si>
  <si>
    <t>Average slope of unit</t>
  </si>
  <si>
    <t>Method</t>
  </si>
  <si>
    <t>N for NFDR, A for ADJ-th, W for Oven Dryed</t>
  </si>
  <si>
    <t xml:space="preserve">           DSR</t>
  </si>
  <si>
    <t>WO Days since .5" rain in a 48 hour period.</t>
  </si>
  <si>
    <t xml:space="preserve">  EO Days since .25" rain in a 48 hour period.</t>
  </si>
  <si>
    <t>REGIONAL AREA</t>
  </si>
  <si>
    <t>WO</t>
  </si>
  <si>
    <t xml:space="preserve">   WO for Western Oregon, EO for Eastern Oregon</t>
  </si>
  <si>
    <t>Unit Information</t>
  </si>
  <si>
    <t xml:space="preserve">          Weather Information</t>
  </si>
  <si>
    <t>Fuel Loading</t>
  </si>
  <si>
    <t xml:space="preserve">           Consumption</t>
  </si>
  <si>
    <t xml:space="preserve">       Tons Consumed By Size Class</t>
  </si>
  <si>
    <t xml:space="preserve">   Experimental</t>
  </si>
  <si>
    <t>REAL%</t>
  </si>
  <si>
    <t>SUMMER AND SPRING SMOOTH DRED</t>
  </si>
  <si>
    <t xml:space="preserve">                 EXTREME</t>
  </si>
  <si>
    <t xml:space="preserve"> VERY HIGH INTENSITY</t>
  </si>
  <si>
    <t>HIGH INTENSITY</t>
  </si>
  <si>
    <t>MEDIUM INTENSITY</t>
  </si>
  <si>
    <t>HIGH INTENSITY FIRE ADJUSTMENT</t>
  </si>
  <si>
    <t>TOTAL</t>
  </si>
  <si>
    <t>FLAMING</t>
  </si>
  <si>
    <t>FL PCT</t>
  </si>
  <si>
    <t>FL</t>
  </si>
  <si>
    <t>FL WOODY</t>
  </si>
  <si>
    <t>SM WOODY</t>
  </si>
  <si>
    <t>FL DUFF</t>
  </si>
  <si>
    <t>SM DUFF</t>
  </si>
  <si>
    <t>TOT FL</t>
  </si>
  <si>
    <t>TOT SM</t>
  </si>
  <si>
    <t>Unit</t>
  </si>
  <si>
    <t>AC</t>
  </si>
  <si>
    <t>Harvest</t>
  </si>
  <si>
    <t>Snow</t>
  </si>
  <si>
    <t>Ign</t>
  </si>
  <si>
    <t>%</t>
  </si>
  <si>
    <t>DSR</t>
  </si>
  <si>
    <t>Wind</t>
  </si>
  <si>
    <t>Meth</t>
  </si>
  <si>
    <t>0 to</t>
  </si>
  <si>
    <t>¼to</t>
  </si>
  <si>
    <t>1" to</t>
  </si>
  <si>
    <t>3"to</t>
  </si>
  <si>
    <t>9"to</t>
  </si>
  <si>
    <t>20"</t>
  </si>
  <si>
    <t>Duff</t>
  </si>
  <si>
    <t>Tons</t>
  </si>
  <si>
    <t>Total</t>
  </si>
  <si>
    <t>DRED</t>
  </si>
  <si>
    <t>Flaming</t>
  </si>
  <si>
    <t>Smolder</t>
  </si>
  <si>
    <t>10-HR</t>
  </si>
  <si>
    <t>ADJ</t>
  </si>
  <si>
    <t>%CONS</t>
  </si>
  <si>
    <t>100-HR</t>
  </si>
  <si>
    <t>SNOW</t>
  </si>
  <si>
    <t>UNCURE</t>
  </si>
  <si>
    <t>1000 HR</t>
  </si>
  <si>
    <t>SPRING</t>
  </si>
  <si>
    <t>INITIAL</t>
  </si>
  <si>
    <t>REAL</t>
  </si>
  <si>
    <t>IGNITION</t>
  </si>
  <si>
    <t>PREV MAX</t>
  </si>
  <si>
    <t>10HR FM</t>
  </si>
  <si>
    <t>TURNING</t>
  </si>
  <si>
    <t>WOODY</t>
  </si>
  <si>
    <t>DAYS TO</t>
  </si>
  <si>
    <t>WET DU</t>
  </si>
  <si>
    <t>MOIST</t>
  </si>
  <si>
    <t>DRY</t>
  </si>
  <si>
    <t>DUFF</t>
  </si>
  <si>
    <t>SHALLOW</t>
  </si>
  <si>
    <t xml:space="preserve">FL </t>
  </si>
  <si>
    <t>100HR</t>
  </si>
  <si>
    <t>1000-HR</t>
  </si>
  <si>
    <t>10000-HR</t>
  </si>
  <si>
    <t>10000P-HR</t>
  </si>
  <si>
    <t>CONS</t>
  </si>
  <si>
    <t>BIO CON</t>
  </si>
  <si>
    <t>#</t>
  </si>
  <si>
    <t>Date</t>
  </si>
  <si>
    <t>Off</t>
  </si>
  <si>
    <t>Dur</t>
  </si>
  <si>
    <t>Slp</t>
  </si>
  <si>
    <t>Sp.</t>
  </si>
  <si>
    <t>HR</t>
  </si>
  <si>
    <t>¼</t>
  </si>
  <si>
    <t>1"</t>
  </si>
  <si>
    <t>3"</t>
  </si>
  <si>
    <t>9"</t>
  </si>
  <si>
    <t>+</t>
  </si>
  <si>
    <t>Dep</t>
  </si>
  <si>
    <t>Cons</t>
  </si>
  <si>
    <t>FM</t>
  </si>
  <si>
    <t>REGION</t>
  </si>
  <si>
    <t>FLUX</t>
  </si>
  <si>
    <t>FM FLUX</t>
  </si>
  <si>
    <t>OFF</t>
  </si>
  <si>
    <t>1000HR</t>
  </si>
  <si>
    <t>SPRINGM</t>
  </si>
  <si>
    <t>SPRINGB</t>
  </si>
  <si>
    <t>M</t>
  </si>
  <si>
    <t>B</t>
  </si>
  <si>
    <t>M=</t>
  </si>
  <si>
    <t>B=</t>
  </si>
  <si>
    <t>DUR</t>
  </si>
  <si>
    <t>COEF</t>
  </si>
  <si>
    <t>IGN</t>
  </si>
  <si>
    <t>IGN COE</t>
  </si>
  <si>
    <t>CHECK</t>
  </si>
  <si>
    <t>POINT</t>
  </si>
  <si>
    <t>IG FACT</t>
  </si>
  <si>
    <t>10000P</t>
  </si>
  <si>
    <t>YADJ</t>
  </si>
  <si>
    <t>RED</t>
  </si>
  <si>
    <t>DUF RED</t>
  </si>
  <si>
    <t>DU RED</t>
  </si>
  <si>
    <t>CORREC</t>
  </si>
  <si>
    <t>Portion</t>
  </si>
  <si>
    <t>T/A</t>
  </si>
  <si>
    <t>Password = ACOST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</si>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</sst>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Helv"/>
      <family val="0"/>
    </font>
    <font>
      <b/>
      <sz val="10"/>
      <name val="Helv"/>
      <family val="0"/>
    </font>
    <font>
      <i/>
      <sz val="8"/>
      <name val="Helv"/>
      <family val="0"/>
    </font>
    <font>
      <b/>
      <i/>
      <sz val="8"/>
      <name val="Helv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9" xfId="0" applyNumberForma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17" fontId="0" fillId="0" borderId="4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showGridLines="0" showRowColHeaders="0" tabSelected="1" workbookViewId="0" topLeftCell="A1">
      <pane ySplit="15" topLeftCell="BM16" activePane="bottomLeft" state="frozen"/>
      <selection pane="topLeft" activeCell="E1" sqref="E1"/>
      <selection pane="bottomLeft" activeCell="R20" sqref="R20"/>
    </sheetView>
  </sheetViews>
  <sheetFormatPr defaultColWidth="9.33203125" defaultRowHeight="10.5"/>
  <cols>
    <col min="1" max="1" width="13.33203125" style="1" customWidth="1"/>
    <col min="2" max="2" width="3.83203125" style="1" customWidth="1"/>
    <col min="3" max="3" width="7.5" style="1" customWidth="1"/>
    <col min="4" max="4" width="4.66015625" style="1" customWidth="1"/>
    <col min="5" max="5" width="4.16015625" style="1" customWidth="1"/>
    <col min="6" max="6" width="3.83203125" style="1" customWidth="1"/>
    <col min="7" max="7" width="4" style="1" customWidth="1"/>
    <col min="8" max="8" width="4.83203125" style="1" customWidth="1"/>
    <col min="9" max="10" width="5" style="1" customWidth="1"/>
    <col min="11" max="11" width="4.66015625" style="1" customWidth="1"/>
    <col min="12" max="12" width="3.83203125" style="1" customWidth="1"/>
    <col min="13" max="13" width="4" style="1" customWidth="1"/>
    <col min="14" max="15" width="4.16015625" style="1" customWidth="1"/>
    <col min="16" max="16" width="4.33203125" style="1" customWidth="1"/>
    <col min="17" max="17" width="3.83203125" style="1" customWidth="1"/>
    <col min="18" max="18" width="4.16015625" style="1" customWidth="1"/>
    <col min="19" max="19" width="0.328125" style="1" customWidth="1"/>
    <col min="20" max="20" width="5.33203125" style="1" customWidth="1"/>
    <col min="21" max="21" width="7.16015625" style="1" customWidth="1"/>
    <col min="22" max="22" width="0.65625" style="1" customWidth="1"/>
    <col min="23" max="23" width="7" style="2" customWidth="1"/>
    <col min="24" max="24" width="4" style="1" customWidth="1"/>
    <col min="25" max="26" width="4.16015625" style="1" customWidth="1"/>
    <col min="27" max="27" width="4" style="1" customWidth="1"/>
    <col min="28" max="28" width="4.66015625" style="1" customWidth="1"/>
    <col min="29" max="29" width="4.16015625" style="1" customWidth="1"/>
    <col min="30" max="30" width="5" style="1" customWidth="1"/>
    <col min="31" max="31" width="5.66015625" style="1" customWidth="1"/>
    <col min="32" max="32" width="3.5" style="1" customWidth="1"/>
    <col min="33" max="33" width="7.33203125" style="1" customWidth="1"/>
    <col min="34" max="34" width="8.5" style="1" customWidth="1"/>
    <col min="35" max="35" width="10" style="1" customWidth="1"/>
    <col min="36" max="36" width="6.66015625" style="0" customWidth="1"/>
    <col min="37" max="37" width="8.16015625" style="0" customWidth="1"/>
    <col min="38" max="38" width="6.33203125" style="0" customWidth="1"/>
    <col min="39" max="39" width="8.5" style="0" customWidth="1"/>
    <col min="40" max="40" width="8.33203125" style="0" customWidth="1"/>
    <col min="41" max="41" width="7.33203125" style="0" customWidth="1"/>
    <col min="42" max="42" width="7.16015625" style="0" customWidth="1"/>
    <col min="43" max="43" width="7" style="0" customWidth="1"/>
    <col min="44" max="44" width="6.83203125" style="0" customWidth="1"/>
    <col min="45" max="46" width="8.33203125" style="0" customWidth="1"/>
    <col min="47" max="48" width="8.16015625" style="0" customWidth="1"/>
    <col min="49" max="49" width="7.16015625" style="0" customWidth="1"/>
    <col min="50" max="50" width="6.16015625" style="0" customWidth="1"/>
    <col min="51" max="51" width="8" style="0" customWidth="1"/>
    <col min="52" max="52" width="7.33203125" style="0" customWidth="1"/>
    <col min="53" max="53" width="7" style="0" customWidth="1"/>
    <col min="54" max="54" width="8.16015625" style="0" customWidth="1"/>
    <col min="55" max="55" width="6.83203125" style="0" customWidth="1"/>
    <col min="56" max="56" width="7.33203125" style="0" customWidth="1"/>
    <col min="57" max="86" width="8.16015625" style="0" customWidth="1"/>
    <col min="87" max="87" width="8.66015625" style="0" customWidth="1"/>
    <col min="88" max="88" width="8.16015625" style="0" customWidth="1"/>
    <col min="89" max="89" width="8.5" style="0" customWidth="1"/>
    <col min="90" max="96" width="8.16015625" style="0" customWidth="1"/>
    <col min="97" max="97" width="10.16015625" style="0" customWidth="1"/>
    <col min="98" max="98" width="10.66015625" style="0" customWidth="1"/>
    <col min="99" max="16384" width="8.16015625" style="0" customWidth="1"/>
  </cols>
  <sheetData>
    <row r="1" spans="3:15" ht="12" customHeight="1">
      <c r="C1" s="3"/>
      <c r="D1" s="3"/>
      <c r="E1" s="4"/>
      <c r="F1" s="3"/>
      <c r="G1" s="4" t="str">
        <f>IF(D12="WO","WESTERN OREGON",IF(D12="EO","EASTERN OREGON"))</f>
        <v>WESTERN OREGON</v>
      </c>
      <c r="H1" s="2"/>
      <c r="I1" s="2"/>
      <c r="J1" s="3"/>
      <c r="K1" s="3"/>
      <c r="L1" s="3"/>
      <c r="M1" s="3"/>
      <c r="N1" s="3"/>
      <c r="O1" s="3"/>
    </row>
    <row r="2" spans="3:15" ht="12" customHeight="1">
      <c r="C2" s="3"/>
      <c r="D2" s="3"/>
      <c r="E2" s="4"/>
      <c r="F2" s="3"/>
      <c r="G2" s="3"/>
      <c r="H2" s="4"/>
      <c r="I2" s="3" t="s">
        <v>0</v>
      </c>
      <c r="J2" s="3"/>
      <c r="K2" s="3"/>
      <c r="L2" s="3"/>
      <c r="M2" s="3"/>
      <c r="N2" s="3"/>
      <c r="O2" s="3"/>
    </row>
    <row r="3" spans="1:16" ht="10.5">
      <c r="A3" s="5" t="s">
        <v>1</v>
      </c>
      <c r="E3" s="2"/>
      <c r="P3" s="6" t="s">
        <v>2</v>
      </c>
    </row>
    <row r="4" ht="10.5">
      <c r="E4" s="2"/>
    </row>
    <row r="5" spans="1:13" ht="10.5">
      <c r="A5" s="7" t="s">
        <v>3</v>
      </c>
      <c r="B5" s="1" t="str">
        <f>"--"</f>
        <v>--</v>
      </c>
      <c r="C5" s="8" t="s">
        <v>4</v>
      </c>
      <c r="D5" s="8"/>
      <c r="E5" s="2"/>
      <c r="J5" s="2"/>
      <c r="K5" s="7" t="s">
        <v>5</v>
      </c>
      <c r="L5" s="1" t="str">
        <f>"--"</f>
        <v>--</v>
      </c>
      <c r="M5" s="8" t="s">
        <v>6</v>
      </c>
    </row>
    <row r="6" spans="1:83" ht="10.5">
      <c r="A6" s="2" t="s">
        <v>7</v>
      </c>
      <c r="B6" s="1" t="str">
        <f>"--"</f>
        <v>--</v>
      </c>
      <c r="C6" s="2" t="s">
        <v>8</v>
      </c>
      <c r="D6" s="8"/>
      <c r="E6" s="2"/>
      <c r="J6" s="2"/>
      <c r="K6" s="7" t="s">
        <v>9</v>
      </c>
      <c r="L6" s="1" t="str">
        <f>"--"</f>
        <v>--</v>
      </c>
      <c r="M6" s="8" t="s">
        <v>10</v>
      </c>
      <c r="AO6" s="9" t="s">
        <v>11</v>
      </c>
      <c r="BD6" s="1" t="s">
        <v>11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CA6" s="1" t="s">
        <v>11</v>
      </c>
      <c r="CB6" s="1" t="s">
        <v>11</v>
      </c>
      <c r="CC6" s="1" t="s">
        <v>11</v>
      </c>
      <c r="CD6" s="2" t="s">
        <v>11</v>
      </c>
      <c r="CE6" s="2" t="s">
        <v>11</v>
      </c>
    </row>
    <row r="7" spans="1:83" ht="10.5">
      <c r="A7" s="7" t="s">
        <v>12</v>
      </c>
      <c r="B7" s="1" t="str">
        <f>"--"</f>
        <v>--</v>
      </c>
      <c r="C7" s="8" t="s">
        <v>13</v>
      </c>
      <c r="D7" s="8"/>
      <c r="E7" s="2"/>
      <c r="J7" s="2"/>
      <c r="K7" s="7" t="s">
        <v>14</v>
      </c>
      <c r="L7" s="1" t="str">
        <f>"--"</f>
        <v>--</v>
      </c>
      <c r="M7" s="8" t="s">
        <v>15</v>
      </c>
      <c r="AT7" s="2" t="s">
        <v>11</v>
      </c>
      <c r="BD7" s="1" t="s">
        <v>11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CA7" s="1" t="s">
        <v>11</v>
      </c>
      <c r="CB7" s="1"/>
      <c r="CC7" s="1" t="s">
        <v>11</v>
      </c>
      <c r="CD7" s="2" t="s">
        <v>11</v>
      </c>
      <c r="CE7" s="2" t="s">
        <v>11</v>
      </c>
    </row>
    <row r="8" spans="1:13" ht="10.5">
      <c r="A8" s="7" t="s">
        <v>16</v>
      </c>
      <c r="B8" s="1" t="str">
        <f>"--"</f>
        <v>--</v>
      </c>
      <c r="C8" s="8" t="s">
        <v>17</v>
      </c>
      <c r="D8" s="8"/>
      <c r="E8" s="2"/>
      <c r="J8" s="2"/>
      <c r="K8" s="7" t="s">
        <v>18</v>
      </c>
      <c r="L8" s="1" t="str">
        <f>"--"</f>
        <v>--</v>
      </c>
      <c r="M8" s="8" t="s">
        <v>19</v>
      </c>
    </row>
    <row r="9" spans="1:13" ht="10.5">
      <c r="A9" s="7" t="s">
        <v>20</v>
      </c>
      <c r="B9" s="1" t="str">
        <f>"--"</f>
        <v>--</v>
      </c>
      <c r="C9" s="8" t="s">
        <v>21</v>
      </c>
      <c r="J9" s="8" t="s">
        <v>22</v>
      </c>
      <c r="K9" s="2"/>
      <c r="L9" s="2"/>
      <c r="M9" s="2"/>
    </row>
    <row r="10" spans="1:13" ht="12.75" customHeight="1">
      <c r="A10" s="7"/>
      <c r="C10" s="2"/>
      <c r="K10" s="2"/>
      <c r="L10" s="2"/>
      <c r="M10" s="2"/>
    </row>
    <row r="11" spans="1:22" ht="1.5" customHeight="1">
      <c r="A11" s="10"/>
      <c r="B11" s="11"/>
      <c r="C11" s="10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3"/>
    </row>
    <row r="12" spans="1:105" ht="12.75">
      <c r="A12" s="14" t="s">
        <v>23</v>
      </c>
      <c r="B12" s="2"/>
      <c r="C12" s="7"/>
      <c r="D12" s="15" t="s">
        <v>24</v>
      </c>
      <c r="E12" s="2" t="s">
        <v>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6"/>
      <c r="AE12" s="1" t="s">
        <v>11</v>
      </c>
      <c r="AI12" s="1" t="s">
        <v>11</v>
      </c>
      <c r="CL12" s="17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 t="b">
        <v>1</v>
      </c>
      <c r="CX12" s="12"/>
      <c r="CY12" s="12"/>
      <c r="CZ12" s="12"/>
      <c r="DA12" s="18"/>
    </row>
    <row r="13" spans="1:105" ht="10.5">
      <c r="A13" s="19"/>
      <c r="B13" s="20"/>
      <c r="C13" s="21" t="s">
        <v>26</v>
      </c>
      <c r="D13" s="21"/>
      <c r="E13" s="20"/>
      <c r="G13" s="20"/>
      <c r="H13" s="22" t="s">
        <v>27</v>
      </c>
      <c r="I13" s="22"/>
      <c r="J13" s="23"/>
      <c r="K13" s="24"/>
      <c r="L13" s="24"/>
      <c r="M13" s="24"/>
      <c r="N13" s="25"/>
      <c r="O13" s="22" t="s">
        <v>28</v>
      </c>
      <c r="P13" s="23"/>
      <c r="Q13" s="24"/>
      <c r="R13" s="24"/>
      <c r="S13" s="24"/>
      <c r="T13" s="22" t="s">
        <v>29</v>
      </c>
      <c r="U13" s="23"/>
      <c r="V13" s="26"/>
      <c r="Z13" s="5" t="s">
        <v>30</v>
      </c>
      <c r="AG13" s="27" t="s">
        <v>31</v>
      </c>
      <c r="AJ13" s="17"/>
      <c r="AK13" s="12"/>
      <c r="AL13" s="12"/>
      <c r="AM13" s="12"/>
      <c r="AN13" s="12"/>
      <c r="AO13" s="12"/>
      <c r="AP13" s="12"/>
      <c r="AQ13" s="12" t="s">
        <v>32</v>
      </c>
      <c r="AR13" s="12"/>
      <c r="AS13" s="12"/>
      <c r="AT13" s="18" t="b">
        <v>1</v>
      </c>
      <c r="BA13" s="1" t="s">
        <v>33</v>
      </c>
      <c r="BD13" s="1"/>
      <c r="BE13" s="1" t="s">
        <v>34</v>
      </c>
      <c r="BF13" s="1"/>
      <c r="BG13" s="1"/>
      <c r="BH13" s="1" t="s">
        <v>35</v>
      </c>
      <c r="BI13" s="1"/>
      <c r="BJ13" s="1"/>
      <c r="BK13" s="1" t="s">
        <v>36</v>
      </c>
      <c r="BL13" s="1"/>
      <c r="BM13" s="1"/>
      <c r="BN13" s="1" t="s">
        <v>37</v>
      </c>
      <c r="BO13" s="1"/>
      <c r="BP13" s="1"/>
      <c r="BQ13" s="1"/>
      <c r="BR13" s="1" t="s">
        <v>38</v>
      </c>
      <c r="BS13" s="1"/>
      <c r="BT13" s="1"/>
      <c r="BU13" s="1"/>
      <c r="BV13" s="28"/>
      <c r="BW13" s="11"/>
      <c r="BX13" s="11"/>
      <c r="BY13" s="11"/>
      <c r="BZ13" s="11"/>
      <c r="CA13" s="11"/>
      <c r="CB13" s="13" t="s">
        <v>39</v>
      </c>
      <c r="CC13" s="1"/>
      <c r="CD13" s="1"/>
      <c r="CE13" s="1"/>
      <c r="CF13" s="1"/>
      <c r="CG13" s="1"/>
      <c r="CH13" s="1"/>
      <c r="CI13" s="1"/>
      <c r="CJ13" s="1"/>
      <c r="CK13" s="1"/>
      <c r="CL13" s="29"/>
      <c r="CN13" s="2" t="s">
        <v>40</v>
      </c>
      <c r="CO13" s="2" t="s">
        <v>41</v>
      </c>
      <c r="CP13" s="2" t="s">
        <v>42</v>
      </c>
      <c r="CQ13" s="2" t="s">
        <v>41</v>
      </c>
      <c r="CR13" s="2" t="s">
        <v>42</v>
      </c>
      <c r="CS13" s="2" t="s">
        <v>42</v>
      </c>
      <c r="CT13" s="2" t="s">
        <v>43</v>
      </c>
      <c r="CU13" s="2" t="s">
        <v>44</v>
      </c>
      <c r="CV13" s="2" t="s">
        <v>40</v>
      </c>
      <c r="CW13" s="2" t="s">
        <v>40</v>
      </c>
      <c r="CX13" s="2" t="s">
        <v>45</v>
      </c>
      <c r="CY13" s="2" t="s">
        <v>46</v>
      </c>
      <c r="CZ13" s="2" t="s">
        <v>47</v>
      </c>
      <c r="DA13" s="16" t="s">
        <v>48</v>
      </c>
    </row>
    <row r="14" spans="1:105" ht="10.5">
      <c r="A14" s="30" t="s">
        <v>49</v>
      </c>
      <c r="B14" s="11" t="s">
        <v>50</v>
      </c>
      <c r="C14" s="11" t="s">
        <v>51</v>
      </c>
      <c r="D14" s="11" t="s">
        <v>52</v>
      </c>
      <c r="E14" s="11" t="s">
        <v>53</v>
      </c>
      <c r="F14" s="13" t="s">
        <v>54</v>
      </c>
      <c r="G14" s="11" t="s">
        <v>55</v>
      </c>
      <c r="H14" s="11" t="s">
        <v>56</v>
      </c>
      <c r="I14" s="11">
        <v>10</v>
      </c>
      <c r="J14" s="11">
        <v>1000</v>
      </c>
      <c r="K14" s="13" t="s">
        <v>57</v>
      </c>
      <c r="L14" s="11" t="s">
        <v>58</v>
      </c>
      <c r="M14" s="11" t="s">
        <v>59</v>
      </c>
      <c r="N14" s="11" t="s">
        <v>60</v>
      </c>
      <c r="O14" s="11" t="s">
        <v>61</v>
      </c>
      <c r="P14" s="11" t="s">
        <v>62</v>
      </c>
      <c r="Q14" s="11" t="s">
        <v>63</v>
      </c>
      <c r="R14" s="13" t="s">
        <v>64</v>
      </c>
      <c r="S14" s="11"/>
      <c r="T14" s="31" t="s">
        <v>65</v>
      </c>
      <c r="U14" s="32" t="s">
        <v>66</v>
      </c>
      <c r="V14" s="33"/>
      <c r="X14" s="28" t="s">
        <v>58</v>
      </c>
      <c r="Y14" s="11" t="s">
        <v>59</v>
      </c>
      <c r="Z14" s="11" t="s">
        <v>60</v>
      </c>
      <c r="AA14" s="11" t="s">
        <v>61</v>
      </c>
      <c r="AB14" s="11" t="s">
        <v>62</v>
      </c>
      <c r="AC14" s="11" t="s">
        <v>63</v>
      </c>
      <c r="AD14" s="30" t="s">
        <v>64</v>
      </c>
      <c r="AE14" s="30" t="s">
        <v>67</v>
      </c>
      <c r="AG14" s="28" t="s">
        <v>68</v>
      </c>
      <c r="AH14" s="13" t="s">
        <v>69</v>
      </c>
      <c r="AJ14" s="29" t="s">
        <v>11</v>
      </c>
      <c r="AM14" s="2" t="s">
        <v>70</v>
      </c>
      <c r="AN14" s="2" t="s">
        <v>71</v>
      </c>
      <c r="AO14" s="2" t="s">
        <v>72</v>
      </c>
      <c r="AP14" s="34">
        <v>0.009</v>
      </c>
      <c r="AQ14" s="2" t="s">
        <v>73</v>
      </c>
      <c r="AR14" s="2" t="s">
        <v>74</v>
      </c>
      <c r="AS14" s="2" t="s">
        <v>75</v>
      </c>
      <c r="AT14" s="16" t="s">
        <v>76</v>
      </c>
      <c r="AY14" s="17" t="s">
        <v>77</v>
      </c>
      <c r="AZ14" s="12" t="s">
        <v>78</v>
      </c>
      <c r="BA14" s="12" t="s">
        <v>78</v>
      </c>
      <c r="BB14" s="12" t="s">
        <v>79</v>
      </c>
      <c r="BC14" s="18" t="s">
        <v>79</v>
      </c>
      <c r="BD14" s="1"/>
      <c r="BE14" s="28" t="s">
        <v>80</v>
      </c>
      <c r="BF14" s="13" t="s">
        <v>80</v>
      </c>
      <c r="BG14" s="11"/>
      <c r="BH14" s="11" t="s">
        <v>80</v>
      </c>
      <c r="BI14" s="13" t="s">
        <v>80</v>
      </c>
      <c r="BJ14" s="11" t="s">
        <v>80</v>
      </c>
      <c r="BK14" s="11" t="s">
        <v>81</v>
      </c>
      <c r="BL14" s="13" t="s">
        <v>80</v>
      </c>
      <c r="BM14" s="11" t="s">
        <v>80</v>
      </c>
      <c r="BN14" s="11" t="s">
        <v>81</v>
      </c>
      <c r="BO14" s="13" t="s">
        <v>80</v>
      </c>
      <c r="BP14" s="11" t="b">
        <v>1</v>
      </c>
      <c r="BQ14" s="11" t="s">
        <v>82</v>
      </c>
      <c r="BR14" s="11" t="s">
        <v>83</v>
      </c>
      <c r="BS14" s="11"/>
      <c r="BT14" s="11"/>
      <c r="BU14" s="13"/>
      <c r="BV14" s="19"/>
      <c r="BW14" s="1" t="s">
        <v>72</v>
      </c>
      <c r="BX14" s="1"/>
      <c r="BY14" s="1" t="s">
        <v>72</v>
      </c>
      <c r="BZ14" s="1" t="s">
        <v>72</v>
      </c>
      <c r="CA14" s="1" t="s">
        <v>39</v>
      </c>
      <c r="CB14" s="33" t="s">
        <v>84</v>
      </c>
      <c r="CC14" s="1"/>
      <c r="CD14" s="28" t="s">
        <v>85</v>
      </c>
      <c r="CE14" s="11" t="s">
        <v>85</v>
      </c>
      <c r="CF14" s="11" t="s">
        <v>86</v>
      </c>
      <c r="CG14" s="11" t="s">
        <v>87</v>
      </c>
      <c r="CH14" s="11" t="s">
        <v>88</v>
      </c>
      <c r="CI14" s="11" t="s">
        <v>89</v>
      </c>
      <c r="CJ14" s="11" t="s">
        <v>90</v>
      </c>
      <c r="CK14" s="11" t="s">
        <v>89</v>
      </c>
      <c r="CL14" s="29" t="s">
        <v>91</v>
      </c>
      <c r="CM14" s="2" t="s">
        <v>42</v>
      </c>
      <c r="CN14" s="2" t="s">
        <v>92</v>
      </c>
      <c r="CO14" s="2" t="s">
        <v>93</v>
      </c>
      <c r="CP14" s="2" t="s">
        <v>93</v>
      </c>
      <c r="CQ14" s="2" t="s">
        <v>94</v>
      </c>
      <c r="CR14" s="2" t="s">
        <v>94</v>
      </c>
      <c r="CS14" s="2" t="s">
        <v>95</v>
      </c>
      <c r="CT14" s="2" t="s">
        <v>96</v>
      </c>
      <c r="CU14" s="2" t="s">
        <v>96</v>
      </c>
      <c r="CV14" s="2" t="s">
        <v>89</v>
      </c>
      <c r="CW14" s="2" t="s">
        <v>89</v>
      </c>
      <c r="CX14" s="2" t="s">
        <v>96</v>
      </c>
      <c r="CY14" s="2" t="s">
        <v>96</v>
      </c>
      <c r="CZ14" s="2" t="s">
        <v>97</v>
      </c>
      <c r="DA14" s="16" t="s">
        <v>97</v>
      </c>
    </row>
    <row r="15" spans="1:105" ht="10.5">
      <c r="A15" s="35" t="s">
        <v>98</v>
      </c>
      <c r="B15" s="1" t="s">
        <v>11</v>
      </c>
      <c r="C15" s="1" t="s">
        <v>99</v>
      </c>
      <c r="D15" s="1" t="s">
        <v>100</v>
      </c>
      <c r="E15" s="1" t="s">
        <v>101</v>
      </c>
      <c r="F15" s="33" t="s">
        <v>102</v>
      </c>
      <c r="G15" s="2"/>
      <c r="H15" s="1" t="s">
        <v>103</v>
      </c>
      <c r="I15" s="1" t="s">
        <v>104</v>
      </c>
      <c r="J15" s="1" t="s">
        <v>104</v>
      </c>
      <c r="K15" s="16"/>
      <c r="L15" s="2" t="s">
        <v>105</v>
      </c>
      <c r="M15" s="1" t="s">
        <v>106</v>
      </c>
      <c r="N15" s="1" t="s">
        <v>107</v>
      </c>
      <c r="O15" s="1" t="s">
        <v>108</v>
      </c>
      <c r="P15" s="1" t="s">
        <v>63</v>
      </c>
      <c r="Q15" s="1" t="s">
        <v>109</v>
      </c>
      <c r="R15" s="16" t="s">
        <v>110</v>
      </c>
      <c r="S15" s="6"/>
      <c r="T15" s="36" t="s">
        <v>50</v>
      </c>
      <c r="U15" s="37" t="s">
        <v>65</v>
      </c>
      <c r="V15" s="33"/>
      <c r="X15" s="19" t="s">
        <v>105</v>
      </c>
      <c r="Y15" s="1" t="s">
        <v>106</v>
      </c>
      <c r="Z15" s="1" t="s">
        <v>107</v>
      </c>
      <c r="AA15" s="1" t="s">
        <v>108</v>
      </c>
      <c r="AB15" s="1" t="s">
        <v>63</v>
      </c>
      <c r="AC15" s="1" t="s">
        <v>109</v>
      </c>
      <c r="AD15" s="35" t="s">
        <v>65</v>
      </c>
      <c r="AE15" s="35"/>
      <c r="AG15" s="19" t="s">
        <v>111</v>
      </c>
      <c r="AH15" s="33" t="s">
        <v>111</v>
      </c>
      <c r="AJ15" s="38" t="s">
        <v>112</v>
      </c>
      <c r="AK15" s="25" t="s">
        <v>113</v>
      </c>
      <c r="AL15" s="25" t="s">
        <v>114</v>
      </c>
      <c r="AM15" s="25" t="s">
        <v>115</v>
      </c>
      <c r="AN15" s="25" t="s">
        <v>82</v>
      </c>
      <c r="AO15" s="25" t="s">
        <v>92</v>
      </c>
      <c r="AP15" s="25" t="s">
        <v>96</v>
      </c>
      <c r="AQ15" s="25" t="s">
        <v>96</v>
      </c>
      <c r="AR15" s="25" t="s">
        <v>116</v>
      </c>
      <c r="AS15" s="25" t="s">
        <v>117</v>
      </c>
      <c r="AT15" s="39" t="s">
        <v>112</v>
      </c>
      <c r="AU15" s="40" t="s">
        <v>118</v>
      </c>
      <c r="AV15" s="41" t="s">
        <v>119</v>
      </c>
      <c r="AW15" s="41" t="s">
        <v>120</v>
      </c>
      <c r="AX15" s="42" t="s">
        <v>121</v>
      </c>
      <c r="AY15" s="38" t="s">
        <v>71</v>
      </c>
      <c r="AZ15" s="25" t="s">
        <v>122</v>
      </c>
      <c r="BA15" s="25" t="s">
        <v>123</v>
      </c>
      <c r="BB15" s="25" t="s">
        <v>122</v>
      </c>
      <c r="BC15" s="39" t="s">
        <v>123</v>
      </c>
      <c r="BD15" s="1" t="s">
        <v>67</v>
      </c>
      <c r="BE15" s="43" t="s">
        <v>124</v>
      </c>
      <c r="BF15" s="44" t="s">
        <v>125</v>
      </c>
      <c r="BG15" s="20"/>
      <c r="BH15" s="20" t="s">
        <v>124</v>
      </c>
      <c r="BI15" s="44" t="s">
        <v>125</v>
      </c>
      <c r="BJ15" s="20" t="s">
        <v>124</v>
      </c>
      <c r="BK15" s="20" t="s">
        <v>126</v>
      </c>
      <c r="BL15" s="44" t="s">
        <v>125</v>
      </c>
      <c r="BM15" s="20" t="s">
        <v>124</v>
      </c>
      <c r="BN15" s="20" t="s">
        <v>126</v>
      </c>
      <c r="BO15" s="44" t="s">
        <v>125</v>
      </c>
      <c r="BP15" s="20" t="s">
        <v>127</v>
      </c>
      <c r="BQ15" s="20" t="s">
        <v>128</v>
      </c>
      <c r="BR15" s="20" t="s">
        <v>129</v>
      </c>
      <c r="BS15" s="20" t="s">
        <v>11</v>
      </c>
      <c r="BT15" s="20"/>
      <c r="BU15" s="44" t="s">
        <v>130</v>
      </c>
      <c r="BV15" s="43" t="s">
        <v>113</v>
      </c>
      <c r="BW15" s="20" t="s">
        <v>93</v>
      </c>
      <c r="BX15" s="20" t="s">
        <v>113</v>
      </c>
      <c r="BY15" s="20" t="s">
        <v>94</v>
      </c>
      <c r="BZ15" s="20" t="s">
        <v>131</v>
      </c>
      <c r="CA15" s="20" t="s">
        <v>117</v>
      </c>
      <c r="CB15" s="44" t="s">
        <v>96</v>
      </c>
      <c r="CC15" s="1" t="s">
        <v>132</v>
      </c>
      <c r="CD15" s="43" t="s">
        <v>87</v>
      </c>
      <c r="CE15" s="20" t="s">
        <v>88</v>
      </c>
      <c r="CF15" s="20" t="s">
        <v>133</v>
      </c>
      <c r="CG15" s="20" t="s">
        <v>134</v>
      </c>
      <c r="CH15" s="20" t="s">
        <v>135</v>
      </c>
      <c r="CI15" s="20" t="s">
        <v>133</v>
      </c>
      <c r="CJ15" s="20" t="s">
        <v>89</v>
      </c>
      <c r="CK15" s="20" t="s">
        <v>136</v>
      </c>
      <c r="CL15" s="38" t="s">
        <v>137</v>
      </c>
      <c r="CM15" s="25" t="s">
        <v>67</v>
      </c>
      <c r="CN15" s="25" t="s">
        <v>96</v>
      </c>
      <c r="CO15" s="25" t="s">
        <v>96</v>
      </c>
      <c r="CP15" s="25" t="s">
        <v>96</v>
      </c>
      <c r="CQ15" s="25" t="s">
        <v>96</v>
      </c>
      <c r="CR15" s="25" t="s">
        <v>96</v>
      </c>
      <c r="CS15" s="25" t="s">
        <v>96</v>
      </c>
      <c r="CT15" s="25" t="s">
        <v>138</v>
      </c>
      <c r="CU15" s="25" t="s">
        <v>138</v>
      </c>
      <c r="CV15" s="25" t="s">
        <v>133</v>
      </c>
      <c r="CW15" s="25" t="s">
        <v>133</v>
      </c>
      <c r="CX15" s="25" t="s">
        <v>138</v>
      </c>
      <c r="CY15" s="25" t="s">
        <v>138</v>
      </c>
      <c r="CZ15" s="25" t="s">
        <v>138</v>
      </c>
      <c r="DA15" s="39" t="s">
        <v>138</v>
      </c>
    </row>
    <row r="16" spans="1:105" ht="10.5">
      <c r="A16" s="45">
        <v>47815000301</v>
      </c>
      <c r="B16" s="46">
        <v>28</v>
      </c>
      <c r="C16" s="47">
        <v>38108</v>
      </c>
      <c r="D16" s="45">
        <v>1</v>
      </c>
      <c r="E16" s="46">
        <v>60</v>
      </c>
      <c r="F16" s="46">
        <v>65</v>
      </c>
      <c r="G16" s="46">
        <v>15</v>
      </c>
      <c r="H16" s="46">
        <v>20</v>
      </c>
      <c r="I16" s="46">
        <v>11</v>
      </c>
      <c r="J16" s="46">
        <v>27</v>
      </c>
      <c r="K16" s="46" t="s">
        <v>140</v>
      </c>
      <c r="L16" s="46">
        <v>2</v>
      </c>
      <c r="M16" s="46">
        <v>2</v>
      </c>
      <c r="N16" s="46">
        <v>5</v>
      </c>
      <c r="O16" s="46">
        <v>5</v>
      </c>
      <c r="P16" s="46">
        <v>4</v>
      </c>
      <c r="Q16" s="46">
        <v>2</v>
      </c>
      <c r="R16" s="46">
        <v>0.5</v>
      </c>
      <c r="S16" s="48"/>
      <c r="T16" s="49">
        <f aca="true" t="shared" si="0" ref="T16:T25">CB16+AD16</f>
        <v>22.81775975558797</v>
      </c>
      <c r="U16" s="49">
        <f aca="true" t="shared" si="1" ref="U16:U25">T16*B16</f>
        <v>638.8972731564631</v>
      </c>
      <c r="V16" s="50"/>
      <c r="W16" s="9"/>
      <c r="X16" s="49">
        <f aca="true" t="shared" si="2" ref="X16:X25">L16</f>
        <v>2</v>
      </c>
      <c r="Y16" s="49">
        <f aca="true" t="shared" si="3" ref="Y16:Y25">M16</f>
        <v>2</v>
      </c>
      <c r="Z16" s="49">
        <f aca="true" t="shared" si="4" ref="Z16:Z25">(N16*AQ16)</f>
        <v>4.5</v>
      </c>
      <c r="AA16" s="49">
        <f aca="true" t="shared" si="5" ref="AA16:AA25">(BW16*O16)</f>
        <v>3.4591161422603056</v>
      </c>
      <c r="AB16" s="49">
        <f aca="true" t="shared" si="6" ref="AB16:AB25">(BY16*P16)</f>
        <v>1.4086436133276643</v>
      </c>
      <c r="AC16" s="49">
        <f aca="true" t="shared" si="7" ref="AC16:AC25">(BZ16*Q16)</f>
        <v>0.1</v>
      </c>
      <c r="AD16" s="51">
        <f aca="true" t="shared" si="8" ref="AD16:AD25">IF($D$12="WO",18.7,12.1)*MIN(CK16,R16)</f>
        <v>9.35</v>
      </c>
      <c r="AE16" s="52">
        <f aca="true" t="shared" si="9" ref="AE16:AE25">BU16*BD16</f>
        <v>2.3355322499999995</v>
      </c>
      <c r="AF16" s="53"/>
      <c r="AG16" s="52">
        <f aca="true" t="shared" si="10" ref="AG16:AG25">CZ16*B16</f>
        <v>602.8635750972678</v>
      </c>
      <c r="AH16" s="52">
        <f aca="true" t="shared" si="11" ref="AH16:AH25">DA16*B16</f>
        <v>36.033698059195366</v>
      </c>
      <c r="AI16" s="54"/>
      <c r="AJ16" s="1">
        <f aca="true" t="shared" si="12" ref="AJ16:AJ25">IF(K16="A",J16,IF(K16="N",J16*1.4,IF(K16="W",J16)))</f>
        <v>27</v>
      </c>
      <c r="AK16" s="1">
        <f aca="true" t="shared" si="13" ref="AK16:AK25">IF($D$12="WO",6.9,IF($D$12="EO",2,"NA"))</f>
        <v>6.9</v>
      </c>
      <c r="AL16" s="1">
        <f aca="true" t="shared" si="14" ref="AL16:AL25">(N16/AK16)*(1+((F16-20)/60)+H16/4)</f>
        <v>4.891304347826087</v>
      </c>
      <c r="AM16" s="1">
        <f aca="true" t="shared" si="15" ref="AM16:AM25">IF(AL16&lt;=0,0,IF(AL16&gt;0,3*(LN(AL16)/LN(2))))</f>
        <v>6.870657705480073</v>
      </c>
      <c r="AN16" s="1">
        <f aca="true" t="shared" si="16" ref="AN16:AN25">(I16-AM16)</f>
        <v>4.129342294519927</v>
      </c>
      <c r="AO16" s="1">
        <f aca="true" t="shared" si="17" ref="AO16:AO25">0.9-(AN16-12)*0.0535</f>
        <v>1.3210801872431839</v>
      </c>
      <c r="AP16" s="1">
        <f aca="true" t="shared" si="18" ref="AP16:AP25">MIN(0.9,AO16)</f>
        <v>0.9</v>
      </c>
      <c r="AQ16" s="1">
        <f aca="true" t="shared" si="19" ref="AQ16:AQ25">MAX(0,AP16)</f>
        <v>0.9</v>
      </c>
      <c r="AR16" s="1">
        <f aca="true" t="shared" si="20" ref="AR16:AR25">IF(D16&lt;=7,D16,0)</f>
        <v>1</v>
      </c>
      <c r="AS16" s="1">
        <f aca="true" ca="1" t="shared" si="21" ref="AS16:AS25">IF(AND(NOW()-C16&gt;120,AR16=0),0,119.64*EXP(-0.0069*(NOW()-C16-(AR16*30))))</f>
        <v>17.0525497214871</v>
      </c>
      <c r="AT16" s="1">
        <f aca="true" t="shared" si="22" ref="AT16:AT25">INT(MAX(AS16,AJ16))</f>
        <v>27</v>
      </c>
      <c r="AU16" s="1">
        <v>-0.096</v>
      </c>
      <c r="AV16" s="1">
        <v>4.6495</v>
      </c>
      <c r="AW16" s="1">
        <v>-0.1251</v>
      </c>
      <c r="AX16" s="1">
        <v>6.27</v>
      </c>
      <c r="AY16" s="1">
        <f aca="true" t="shared" si="23" ref="AY16:AY25">IF(AND(AQ16&gt;0.75,AQ16&lt;0.85),(AQ16-0.76)/0.1,1)</f>
        <v>1</v>
      </c>
      <c r="AZ16" s="1">
        <f aca="true" t="shared" si="24" ref="AZ16:AZ25">IF(AQ16&lt;=0.75,AU16,(-0.096+AY16*(-0.1251--0.096)))</f>
        <v>-0.1251</v>
      </c>
      <c r="BA16" s="1">
        <f aca="true" t="shared" si="25" ref="BA16:BA25">IF(AQ16&lt;=0.75,AV16,(4.6495+AY16*(6.27-4.6495)))</f>
        <v>6.27</v>
      </c>
      <c r="BB16" s="1">
        <f aca="true" t="shared" si="26" ref="BB16:BB25">IF(AND((AT16*AZ16+BA16)&lt;(-0.0178*AT16+1.499),AT16&lt;=60),-0.0178,IF((AT16*AZ16+BA16)&lt;(-0.005*AT16+0.731),-0.005,AZ16))</f>
        <v>-0.1251</v>
      </c>
      <c r="BC16" s="1">
        <f aca="true" t="shared" si="27" ref="BC16:BC25">IF(AND((AT16*AZ16+BA16)&lt;(-0.0178*AT16+1.499),AT16&lt;=60),1.499,IF((AT16*AZ16+BA16)&lt;(-0.005*AT16+0.731),0.731,BA16))</f>
        <v>6.27</v>
      </c>
      <c r="BD16" s="1">
        <f aca="true" t="shared" si="28" ref="BD16:BD25">IF(BB16*AT16+BC16&lt;0,0,BB16*AT16+BC16)</f>
        <v>2.8922999999999996</v>
      </c>
      <c r="BE16" s="1">
        <f aca="true" t="shared" si="29" ref="BE16:BE25">IF(B16&lt;20,B16,(0.5*B16)+10)</f>
        <v>24</v>
      </c>
      <c r="BF16" s="1">
        <f aca="true" t="shared" si="30" ref="BF16:BF25">IF(E16&lt;=BE16,IF(B16&gt;=10,4,4-((10-B16)/10)),1)</f>
        <v>1</v>
      </c>
      <c r="BG16" s="1">
        <f aca="true" t="shared" si="31" ref="BG16:BG25">IF(BF16=1,BE16,1)</f>
        <v>24</v>
      </c>
      <c r="BH16" s="1">
        <f aca="true" t="shared" si="32" ref="BH16:BH25">IF(BF16=1,IF(B16&lt;20,2*B16,B16+20),1)</f>
        <v>48</v>
      </c>
      <c r="BI16" s="1">
        <f aca="true" t="shared" si="33" ref="BI16:BI25">IF(E16&lt;=BH16,IF(BH16&lt;&gt;1,3+((BH16-E16)/(BH16-BE16)),1),1)</f>
        <v>1</v>
      </c>
      <c r="BJ16" s="1">
        <f aca="true" t="shared" si="34" ref="BJ16:BJ25">IF(BI16=1,IF(B16&lt;20,4*B16,2*B16+40),1)</f>
        <v>96</v>
      </c>
      <c r="BK16" s="1">
        <f aca="true" t="shared" si="35" ref="BK16:BK25">IF(BI16=1,BH16,1)</f>
        <v>48</v>
      </c>
      <c r="BL16" s="1">
        <f aca="true" t="shared" si="36" ref="BL16:BL25">IF(E16&lt;BJ16,IF(BJ16&lt;&gt;1,2+((BJ16-E16)/(BJ16-BK16)),1),1)</f>
        <v>2.75</v>
      </c>
      <c r="BM16" s="1">
        <f aca="true" t="shared" si="37" ref="BM16:BM25">IF(BL16=1,IF(B16&lt;20,8*B16,4*B16+80),1)</f>
        <v>1</v>
      </c>
      <c r="BN16" s="1">
        <f aca="true" t="shared" si="38" ref="BN16:BN25">IF(BL16=1,BJ16,1)</f>
        <v>1</v>
      </c>
      <c r="BO16" s="1" t="b">
        <f aca="true" t="shared" si="39" ref="BO16:BO25">IF(E16&lt;=BM16,IF(BM16&lt;&gt;1,1+((BM16-E16)/(BM16-BN16)),1))</f>
        <v>0</v>
      </c>
      <c r="BP16" s="1">
        <f aca="true" t="shared" si="40" ref="BP16:BP25">MAX(BF16,BI16,BL16,BO16)</f>
        <v>2.75</v>
      </c>
      <c r="BQ16" s="53">
        <f aca="true" t="shared" si="41" ref="BQ16:BQ25">IF(AND(I16&gt;15,I16&lt;=18),BP16-((BP16-1)*((I16-15)/3)),IF(I16&lt;=15,BP16,1))</f>
        <v>2.75</v>
      </c>
      <c r="BR16" s="54">
        <f aca="true" t="shared" si="42" ref="BR16:BR25">(BQ16*-3.333)+53.333</f>
        <v>44.167249999999996</v>
      </c>
      <c r="BS16" s="1">
        <f aca="true" t="shared" si="43" ref="BS16:BS25">IF(AT16&gt;BR16,(AT16*(-3/20))+8+(0.5*BQ16),BQ16)</f>
        <v>2.75</v>
      </c>
      <c r="BT16" s="1">
        <f aca="true" t="shared" si="44" ref="BT16:BT25">IF(BS16&lt;1,1,BS16)</f>
        <v>2.75</v>
      </c>
      <c r="BU16" s="1">
        <f aca="true" t="shared" si="45" ref="BU16:BU25">1-(0.11*(BT16-1))</f>
        <v>0.8075</v>
      </c>
      <c r="BV16" s="1">
        <f aca="true" t="shared" si="46" ref="BV16:BV25">IF($D$12="WO",5.25,5.15)</f>
        <v>5.25</v>
      </c>
      <c r="BW16" s="1">
        <f aca="true" t="shared" si="47" ref="BW16:BW25">IF(1-((BV16-AE16)/BV16)^2&lt;0,0,1-((BV16-AE16)/BV16)^2)</f>
        <v>0.6918232284520611</v>
      </c>
      <c r="BX16" s="1">
        <f aca="true" t="shared" si="48" ref="BX16:BX25">IF($D$12="WO",11.97,13.1)</f>
        <v>11.97</v>
      </c>
      <c r="BY16" s="1">
        <f aca="true" t="shared" si="49" ref="BY16:BY25">IF(1-((BX16-AE16)/BX16)^2&lt;0,0,1-((BX16-AE16)/BX16)^2)</f>
        <v>0.3521609033319161</v>
      </c>
      <c r="BZ16" s="1">
        <f aca="true" t="shared" si="50" ref="BZ16:BZ25">IF(AT16&lt;=30,0.05,IF(AT16=31,0.04,IF(AT16=32,0.03,IF(AT16=33,0.02,IF(AT16=34,0.01,IF(AT16&gt;=35,0))))))</f>
        <v>0.05</v>
      </c>
      <c r="CA16" s="1">
        <f aca="true" t="shared" si="51" ref="CA16:CA25">(AA16+AB16+AC16)</f>
        <v>4.96775975558797</v>
      </c>
      <c r="CB16" s="1">
        <f aca="true" t="shared" si="52" ref="CB16:CB25">(L16+M16+Z16+CA16)</f>
        <v>13.46775975558797</v>
      </c>
      <c r="CC16" s="1">
        <f aca="true" t="shared" si="53" ref="CC16:CC25">MIN(AE16/1.68,1)</f>
        <v>1</v>
      </c>
      <c r="CD16" s="1">
        <f aca="true" t="shared" si="54" ref="CD16:CD25">21*((R16/3)^1.18)</f>
        <v>2.5351334129331504</v>
      </c>
      <c r="CE16" s="1">
        <f aca="true" t="shared" si="55" ref="CE16:CE25">57*(R16/3)^1.18</f>
        <v>6.881076406532837</v>
      </c>
      <c r="CF16" s="1">
        <f aca="true" t="shared" si="56" ref="CF16:CF25">(0.537*CC16)+(0.057*CA16)</f>
        <v>0.8201623060685144</v>
      </c>
      <c r="CG16" s="1">
        <f aca="true" t="shared" si="57" ref="CG16:CG25">IF((0.537*CC16)+(0.057*CA16)+((G16-CD16)/27)&lt;=(0.323*CC16+1.034*SQRT(AE16)),(0.537*CC16)+(0.057*CA16)+((G16-CD16)/27),(0.323*CC16+1.034*SQRT(AE16)))</f>
        <v>1.2818240315154348</v>
      </c>
      <c r="CH16" s="1">
        <f aca="true" t="shared" si="58" ref="CH16:CH25">(0.323*CC16+1.034*SQRT(AE16))+((G16-CE16)/27)</f>
        <v>2.2039060245264817</v>
      </c>
      <c r="CI16" s="1">
        <f aca="true" t="shared" si="59" ref="CI16:CI25">IF(G16&lt;=CD16,CF16,IF(CG16&lt;CH16,IF(CF16&gt;CG16,CF16,CG16),IF(CF16&gt;CH16,CF16,CH16)))</f>
        <v>1.2818240315154348</v>
      </c>
      <c r="CJ16" s="1">
        <f aca="true" t="shared" si="60" ref="CJ16:CJ25">IF(R16&lt;=0.5,0.5,IF(R16&lt;=2.5,0.25*R16+0.375,1))</f>
        <v>0.5</v>
      </c>
      <c r="CK16" s="1">
        <f aca="true" t="shared" si="61" ref="CK16:CK25">CI16*CJ16</f>
        <v>0.6409120157577174</v>
      </c>
      <c r="CL16" s="2">
        <f aca="true" t="shared" si="62" ref="CL16:CL25">1-(EXP(-(ABS((((20-Z16)/20)-1)/0.2313)^2.26)))</f>
        <v>0.6091757674113799</v>
      </c>
      <c r="CM16" s="2">
        <f aca="true" t="shared" si="63" ref="CM16:CM25">AE16*CL16</f>
        <v>1.4227496507077766</v>
      </c>
      <c r="CN16" s="2">
        <f aca="true" t="shared" si="64" ref="CN16:CN25">IF(CM16&gt;1.68,Z16,(N16*(1-(1.68-CM16)^2/1.68^2)))</f>
        <v>4.8827633535094765</v>
      </c>
      <c r="CO16" s="2">
        <f aca="true" t="shared" si="65" ref="CO16:CO25">1-((BV16-CM16)^2)/BV16^2</f>
        <v>0.4685589029965552</v>
      </c>
      <c r="CP16" s="2">
        <f aca="true" t="shared" si="66" ref="CP16:CP25">O16*CO16</f>
        <v>2.342794514982776</v>
      </c>
      <c r="CQ16" s="2">
        <f aca="true" t="shared" si="67" ref="CQ16:CQ25">1-((BX16-CM16)^2)/BX16^2</f>
        <v>0.2235916306315432</v>
      </c>
      <c r="CR16" s="2">
        <f aca="true" t="shared" si="68" ref="CR16:CR25">P16*CQ16</f>
        <v>0.8943665225261728</v>
      </c>
      <c r="CS16" s="2">
        <f aca="true" t="shared" si="69" ref="CS16:CS25">AC16*CL16</f>
        <v>0.06091757674113799</v>
      </c>
      <c r="CT16" s="2">
        <f aca="true" t="shared" si="70" ref="CT16:CT25">MIN((L16+M16+CN16+CP16+CR16+CS16),CB16)</f>
        <v>12.180841967759564</v>
      </c>
      <c r="CU16" s="2">
        <f aca="true" t="shared" si="71" ref="CU16:CU25">CB16-CT16</f>
        <v>1.286917787828406</v>
      </c>
      <c r="CV16" s="2">
        <f aca="true" t="shared" si="72" ref="CV16:CV25">(0.182*CC16+0.323*SQRT(CM16))</f>
        <v>0.5672713956533648</v>
      </c>
      <c r="CW16" s="2">
        <f aca="true" t="shared" si="73" ref="CW16:CW25">IF(CV16&gt;CK16,CK16,CV16)</f>
        <v>0.5672713956533648</v>
      </c>
      <c r="CX16" s="2">
        <f aca="true" t="shared" si="74" ref="CX16:CX25">IF($D$12="WO",18.7,12.1)*MIN(CW16,R16)</f>
        <v>9.35</v>
      </c>
      <c r="CY16" s="2">
        <f aca="true" t="shared" si="75" ref="CY16:CY25">AD16-CX16</f>
        <v>0</v>
      </c>
      <c r="CZ16" s="2">
        <f aca="true" t="shared" si="76" ref="CZ16:CZ25">CT16+CX16</f>
        <v>21.530841967759564</v>
      </c>
      <c r="DA16" s="2">
        <f aca="true" t="shared" si="77" ref="DA16:DA25">CU16+CY16</f>
        <v>1.286917787828406</v>
      </c>
    </row>
    <row r="17" spans="1:105" ht="10.5">
      <c r="A17" s="45">
        <v>47815000401</v>
      </c>
      <c r="B17" s="46">
        <v>40</v>
      </c>
      <c r="C17" s="47">
        <v>38078</v>
      </c>
      <c r="D17" s="45">
        <v>1</v>
      </c>
      <c r="E17" s="46">
        <v>80</v>
      </c>
      <c r="F17" s="46">
        <v>65</v>
      </c>
      <c r="G17" s="46">
        <v>15</v>
      </c>
      <c r="H17" s="46">
        <v>25</v>
      </c>
      <c r="I17" s="46">
        <v>11</v>
      </c>
      <c r="J17" s="46">
        <v>27</v>
      </c>
      <c r="K17" s="46" t="s">
        <v>140</v>
      </c>
      <c r="L17" s="46">
        <v>2</v>
      </c>
      <c r="M17" s="46">
        <v>2</v>
      </c>
      <c r="N17" s="46">
        <v>4</v>
      </c>
      <c r="O17" s="46">
        <v>5</v>
      </c>
      <c r="P17" s="46">
        <v>4</v>
      </c>
      <c r="Q17" s="46">
        <v>2</v>
      </c>
      <c r="R17" s="46">
        <v>0.5</v>
      </c>
      <c r="S17" s="48"/>
      <c r="T17" s="49">
        <f t="shared" si="0"/>
        <v>21.95990940880401</v>
      </c>
      <c r="U17" s="49">
        <f t="shared" si="1"/>
        <v>878.3963763521604</v>
      </c>
      <c r="V17" s="50"/>
      <c r="W17" s="9"/>
      <c r="X17" s="49">
        <f t="shared" si="2"/>
        <v>2</v>
      </c>
      <c r="Y17" s="49">
        <f t="shared" si="3"/>
        <v>2</v>
      </c>
      <c r="Z17" s="49">
        <f t="shared" si="4"/>
        <v>3.6</v>
      </c>
      <c r="AA17" s="49">
        <f t="shared" si="5"/>
        <v>3.4870232957777776</v>
      </c>
      <c r="AB17" s="49">
        <f t="shared" si="6"/>
        <v>1.4228861130262307</v>
      </c>
      <c r="AC17" s="49">
        <f t="shared" si="7"/>
        <v>0.1</v>
      </c>
      <c r="AD17" s="51">
        <f t="shared" si="8"/>
        <v>9.35</v>
      </c>
      <c r="AE17" s="52">
        <f t="shared" si="9"/>
        <v>2.3620449999999997</v>
      </c>
      <c r="AF17" s="53"/>
      <c r="AG17" s="52">
        <f t="shared" si="10"/>
        <v>767.7511558419809</v>
      </c>
      <c r="AH17" s="52">
        <f t="shared" si="11"/>
        <v>110.64522051017939</v>
      </c>
      <c r="AI17" s="54"/>
      <c r="AJ17" s="1">
        <f t="shared" si="12"/>
        <v>27</v>
      </c>
      <c r="AK17" s="1">
        <f t="shared" si="13"/>
        <v>6.9</v>
      </c>
      <c r="AL17" s="1">
        <f t="shared" si="14"/>
        <v>4.63768115942029</v>
      </c>
      <c r="AM17" s="1">
        <f t="shared" si="15"/>
        <v>6.6402109143275805</v>
      </c>
      <c r="AN17" s="1">
        <f t="shared" si="16"/>
        <v>4.3597890856724195</v>
      </c>
      <c r="AO17" s="1">
        <f t="shared" si="17"/>
        <v>1.3087512839165256</v>
      </c>
      <c r="AP17" s="1">
        <f t="shared" si="18"/>
        <v>0.9</v>
      </c>
      <c r="AQ17" s="1">
        <f t="shared" si="19"/>
        <v>0.9</v>
      </c>
      <c r="AR17" s="1">
        <f t="shared" si="20"/>
        <v>1</v>
      </c>
      <c r="AS17" s="1">
        <f ca="1" t="shared" si="21"/>
        <v>13.864058005959095</v>
      </c>
      <c r="AT17" s="1">
        <f t="shared" si="22"/>
        <v>27</v>
      </c>
      <c r="AU17" s="1">
        <v>-0.096</v>
      </c>
      <c r="AV17" s="1">
        <v>4.6495</v>
      </c>
      <c r="AW17" s="1">
        <v>-0.1251</v>
      </c>
      <c r="AX17" s="1">
        <v>6.27</v>
      </c>
      <c r="AY17" s="1">
        <f t="shared" si="23"/>
        <v>1</v>
      </c>
      <c r="AZ17" s="1">
        <f t="shared" si="24"/>
        <v>-0.1251</v>
      </c>
      <c r="BA17" s="1">
        <f t="shared" si="25"/>
        <v>6.27</v>
      </c>
      <c r="BB17" s="1">
        <f t="shared" si="26"/>
        <v>-0.1251</v>
      </c>
      <c r="BC17" s="1">
        <f t="shared" si="27"/>
        <v>6.27</v>
      </c>
      <c r="BD17" s="1">
        <f t="shared" si="28"/>
        <v>2.8922999999999996</v>
      </c>
      <c r="BE17" s="1">
        <f t="shared" si="29"/>
        <v>30</v>
      </c>
      <c r="BF17" s="1">
        <f t="shared" si="30"/>
        <v>1</v>
      </c>
      <c r="BG17" s="1">
        <f t="shared" si="31"/>
        <v>30</v>
      </c>
      <c r="BH17" s="1">
        <f t="shared" si="32"/>
        <v>60</v>
      </c>
      <c r="BI17" s="1">
        <f t="shared" si="33"/>
        <v>1</v>
      </c>
      <c r="BJ17" s="1">
        <f t="shared" si="34"/>
        <v>120</v>
      </c>
      <c r="BK17" s="1">
        <f t="shared" si="35"/>
        <v>60</v>
      </c>
      <c r="BL17" s="1">
        <f t="shared" si="36"/>
        <v>2.6666666666666665</v>
      </c>
      <c r="BM17" s="1">
        <f t="shared" si="37"/>
        <v>1</v>
      </c>
      <c r="BN17" s="1">
        <f t="shared" si="38"/>
        <v>1</v>
      </c>
      <c r="BO17" s="1" t="b">
        <f t="shared" si="39"/>
        <v>0</v>
      </c>
      <c r="BP17" s="1">
        <f t="shared" si="40"/>
        <v>2.6666666666666665</v>
      </c>
      <c r="BQ17" s="53">
        <f t="shared" si="41"/>
        <v>2.6666666666666665</v>
      </c>
      <c r="BR17" s="54">
        <f t="shared" si="42"/>
        <v>44.445</v>
      </c>
      <c r="BS17" s="1">
        <f t="shared" si="43"/>
        <v>2.6666666666666665</v>
      </c>
      <c r="BT17" s="1">
        <f t="shared" si="44"/>
        <v>2.6666666666666665</v>
      </c>
      <c r="BU17" s="1">
        <f t="shared" si="45"/>
        <v>0.8166666666666667</v>
      </c>
      <c r="BV17" s="1">
        <f t="shared" si="46"/>
        <v>5.25</v>
      </c>
      <c r="BW17" s="1">
        <f t="shared" si="47"/>
        <v>0.6974046591555555</v>
      </c>
      <c r="BX17" s="1">
        <f t="shared" si="48"/>
        <v>11.97</v>
      </c>
      <c r="BY17" s="1">
        <f t="shared" si="49"/>
        <v>0.3557215282565577</v>
      </c>
      <c r="BZ17" s="1">
        <f t="shared" si="50"/>
        <v>0.05</v>
      </c>
      <c r="CA17" s="1">
        <f t="shared" si="51"/>
        <v>5.009909408804008</v>
      </c>
      <c r="CB17" s="1">
        <f t="shared" si="52"/>
        <v>12.609909408804008</v>
      </c>
      <c r="CC17" s="1">
        <f t="shared" si="53"/>
        <v>1</v>
      </c>
      <c r="CD17" s="1">
        <f t="shared" si="54"/>
        <v>2.5351334129331504</v>
      </c>
      <c r="CE17" s="1">
        <f t="shared" si="55"/>
        <v>6.881076406532837</v>
      </c>
      <c r="CF17" s="1">
        <f t="shared" si="56"/>
        <v>0.8225648363018285</v>
      </c>
      <c r="CG17" s="1">
        <f t="shared" si="57"/>
        <v>1.284226561748749</v>
      </c>
      <c r="CH17" s="1">
        <f t="shared" si="58"/>
        <v>2.2128498863605204</v>
      </c>
      <c r="CI17" s="1">
        <f t="shared" si="59"/>
        <v>1.284226561748749</v>
      </c>
      <c r="CJ17" s="1">
        <f t="shared" si="60"/>
        <v>0.5</v>
      </c>
      <c r="CK17" s="1">
        <f t="shared" si="61"/>
        <v>0.6421132808743745</v>
      </c>
      <c r="CL17" s="2">
        <f t="shared" si="62"/>
        <v>0.4329945780147466</v>
      </c>
      <c r="CM17" s="2">
        <f t="shared" si="63"/>
        <v>1.022752678026842</v>
      </c>
      <c r="CN17" s="2">
        <f t="shared" si="64"/>
        <v>3.3877918902481747</v>
      </c>
      <c r="CO17" s="2">
        <f t="shared" si="65"/>
        <v>0.35166911850778293</v>
      </c>
      <c r="CP17" s="2">
        <f t="shared" si="66"/>
        <v>1.7583455925389146</v>
      </c>
      <c r="CQ17" s="2">
        <f t="shared" si="67"/>
        <v>0.1635854888652396</v>
      </c>
      <c r="CR17" s="2">
        <f t="shared" si="68"/>
        <v>0.6543419554609584</v>
      </c>
      <c r="CS17" s="2">
        <f t="shared" si="69"/>
        <v>0.043299457801474664</v>
      </c>
      <c r="CT17" s="2">
        <f t="shared" si="70"/>
        <v>9.843778896049523</v>
      </c>
      <c r="CU17" s="2">
        <f t="shared" si="71"/>
        <v>2.7661305127544846</v>
      </c>
      <c r="CV17" s="2">
        <f t="shared" si="72"/>
        <v>0.5086538904496047</v>
      </c>
      <c r="CW17" s="2">
        <f t="shared" si="73"/>
        <v>0.5086538904496047</v>
      </c>
      <c r="CX17" s="2">
        <f t="shared" si="74"/>
        <v>9.35</v>
      </c>
      <c r="CY17" s="2">
        <f t="shared" si="75"/>
        <v>0</v>
      </c>
      <c r="CZ17" s="2">
        <f t="shared" si="76"/>
        <v>19.193778896049523</v>
      </c>
      <c r="DA17" s="2">
        <f t="shared" si="77"/>
        <v>2.7661305127544846</v>
      </c>
    </row>
    <row r="18" spans="1:105" ht="10.5">
      <c r="A18" s="45">
        <v>478150233</v>
      </c>
      <c r="B18" s="46">
        <v>50</v>
      </c>
      <c r="C18" s="47">
        <v>38200</v>
      </c>
      <c r="D18" s="45">
        <v>1</v>
      </c>
      <c r="E18" s="46">
        <v>90</v>
      </c>
      <c r="F18" s="46">
        <v>65</v>
      </c>
      <c r="G18" s="46">
        <v>15</v>
      </c>
      <c r="H18" s="46">
        <v>7</v>
      </c>
      <c r="I18" s="46">
        <v>11</v>
      </c>
      <c r="J18" s="46">
        <v>27</v>
      </c>
      <c r="K18" s="46" t="s">
        <v>140</v>
      </c>
      <c r="L18" s="46">
        <v>2</v>
      </c>
      <c r="M18" s="46">
        <v>2</v>
      </c>
      <c r="N18" s="46">
        <v>3</v>
      </c>
      <c r="O18" s="46">
        <v>2</v>
      </c>
      <c r="P18" s="46">
        <v>2</v>
      </c>
      <c r="Q18" s="46">
        <v>2</v>
      </c>
      <c r="R18" s="46">
        <v>0.5</v>
      </c>
      <c r="S18" s="48" t="s">
        <v>11</v>
      </c>
      <c r="T18" s="49">
        <f t="shared" si="0"/>
        <v>17.833341518229354</v>
      </c>
      <c r="U18" s="49">
        <f t="shared" si="1"/>
        <v>891.6670759114677</v>
      </c>
      <c r="V18" s="50"/>
      <c r="W18" s="9"/>
      <c r="X18" s="49">
        <f t="shared" si="2"/>
        <v>2</v>
      </c>
      <c r="Y18" s="49">
        <f t="shared" si="3"/>
        <v>2</v>
      </c>
      <c r="Z18" s="49">
        <f t="shared" si="4"/>
        <v>2.7</v>
      </c>
      <c r="AA18" s="49">
        <f t="shared" si="5"/>
        <v>1.1559141036719498</v>
      </c>
      <c r="AB18" s="49">
        <f t="shared" si="6"/>
        <v>0.5674274145574052</v>
      </c>
      <c r="AC18" s="49">
        <f t="shared" si="7"/>
        <v>0.06</v>
      </c>
      <c r="AD18" s="51">
        <f t="shared" si="8"/>
        <v>9.35</v>
      </c>
      <c r="AE18" s="52">
        <f t="shared" si="9"/>
        <v>1.8393462857142855</v>
      </c>
      <c r="AF18" s="53"/>
      <c r="AG18" s="52">
        <f t="shared" si="10"/>
        <v>675.5625356135813</v>
      </c>
      <c r="AH18" s="52">
        <f t="shared" si="11"/>
        <v>216.1045402978865</v>
      </c>
      <c r="AI18" s="54"/>
      <c r="AJ18" s="1">
        <f t="shared" si="12"/>
        <v>27</v>
      </c>
      <c r="AK18" s="1">
        <f t="shared" si="13"/>
        <v>6.9</v>
      </c>
      <c r="AL18" s="1">
        <f t="shared" si="14"/>
        <v>1.5217391304347825</v>
      </c>
      <c r="AM18" s="1">
        <f t="shared" si="15"/>
        <v>1.8171631826638606</v>
      </c>
      <c r="AN18" s="1">
        <f t="shared" si="16"/>
        <v>9.18283681733614</v>
      </c>
      <c r="AO18" s="1">
        <f t="shared" si="17"/>
        <v>1.0507182302725164</v>
      </c>
      <c r="AP18" s="1">
        <f t="shared" si="18"/>
        <v>0.9</v>
      </c>
      <c r="AQ18" s="1">
        <f t="shared" si="19"/>
        <v>0.9</v>
      </c>
      <c r="AR18" s="1">
        <f t="shared" si="20"/>
        <v>1</v>
      </c>
      <c r="AS18" s="1">
        <f ca="1" t="shared" si="21"/>
        <v>32.172103828521514</v>
      </c>
      <c r="AT18" s="1">
        <f t="shared" si="22"/>
        <v>32</v>
      </c>
      <c r="AU18" s="1">
        <v>-0.096</v>
      </c>
      <c r="AV18" s="1">
        <v>4.6495</v>
      </c>
      <c r="AW18" s="1">
        <v>-0.1251</v>
      </c>
      <c r="AX18" s="1">
        <v>6.27</v>
      </c>
      <c r="AY18" s="1">
        <f t="shared" si="23"/>
        <v>1</v>
      </c>
      <c r="AZ18" s="1">
        <f t="shared" si="24"/>
        <v>-0.1251</v>
      </c>
      <c r="BA18" s="1">
        <f t="shared" si="25"/>
        <v>6.27</v>
      </c>
      <c r="BB18" s="1">
        <f t="shared" si="26"/>
        <v>-0.1251</v>
      </c>
      <c r="BC18" s="1">
        <f t="shared" si="27"/>
        <v>6.27</v>
      </c>
      <c r="BD18" s="1">
        <f t="shared" si="28"/>
        <v>2.2668</v>
      </c>
      <c r="BE18" s="1">
        <f t="shared" si="29"/>
        <v>35</v>
      </c>
      <c r="BF18" s="1">
        <f t="shared" si="30"/>
        <v>1</v>
      </c>
      <c r="BG18" s="1">
        <f t="shared" si="31"/>
        <v>35</v>
      </c>
      <c r="BH18" s="1">
        <f t="shared" si="32"/>
        <v>70</v>
      </c>
      <c r="BI18" s="1">
        <f t="shared" si="33"/>
        <v>1</v>
      </c>
      <c r="BJ18" s="1">
        <f t="shared" si="34"/>
        <v>140</v>
      </c>
      <c r="BK18" s="1">
        <f t="shared" si="35"/>
        <v>70</v>
      </c>
      <c r="BL18" s="1">
        <f t="shared" si="36"/>
        <v>2.7142857142857144</v>
      </c>
      <c r="BM18" s="1">
        <f t="shared" si="37"/>
        <v>1</v>
      </c>
      <c r="BN18" s="1">
        <f t="shared" si="38"/>
        <v>1</v>
      </c>
      <c r="BO18" s="1" t="b">
        <f t="shared" si="39"/>
        <v>0</v>
      </c>
      <c r="BP18" s="1">
        <f t="shared" si="40"/>
        <v>2.7142857142857144</v>
      </c>
      <c r="BQ18" s="53">
        <f t="shared" si="41"/>
        <v>2.7142857142857144</v>
      </c>
      <c r="BR18" s="54">
        <f t="shared" si="42"/>
        <v>44.28628571428571</v>
      </c>
      <c r="BS18" s="1">
        <f t="shared" si="43"/>
        <v>2.7142857142857144</v>
      </c>
      <c r="BT18" s="1">
        <f t="shared" si="44"/>
        <v>2.7142857142857144</v>
      </c>
      <c r="BU18" s="1">
        <f t="shared" si="45"/>
        <v>0.8114285714285714</v>
      </c>
      <c r="BV18" s="1">
        <f t="shared" si="46"/>
        <v>5.25</v>
      </c>
      <c r="BW18" s="1">
        <f t="shared" si="47"/>
        <v>0.5779570518359749</v>
      </c>
      <c r="BX18" s="1">
        <f t="shared" si="48"/>
        <v>11.97</v>
      </c>
      <c r="BY18" s="1">
        <f t="shared" si="49"/>
        <v>0.2837137072787026</v>
      </c>
      <c r="BZ18" s="1">
        <f t="shared" si="50"/>
        <v>0.03</v>
      </c>
      <c r="CA18" s="1">
        <f t="shared" si="51"/>
        <v>1.783341518229355</v>
      </c>
      <c r="CB18" s="1">
        <f t="shared" si="52"/>
        <v>8.483341518229356</v>
      </c>
      <c r="CC18" s="1">
        <f t="shared" si="53"/>
        <v>1</v>
      </c>
      <c r="CD18" s="1">
        <f t="shared" si="54"/>
        <v>2.5351334129331504</v>
      </c>
      <c r="CE18" s="1">
        <f t="shared" si="55"/>
        <v>6.881076406532837</v>
      </c>
      <c r="CF18" s="1">
        <f t="shared" si="56"/>
        <v>0.6386504665390733</v>
      </c>
      <c r="CG18" s="1">
        <f t="shared" si="57"/>
        <v>1.1003121919859937</v>
      </c>
      <c r="CH18" s="1">
        <f t="shared" si="58"/>
        <v>2.0260375372083343</v>
      </c>
      <c r="CI18" s="1">
        <f t="shared" si="59"/>
        <v>1.1003121919859937</v>
      </c>
      <c r="CJ18" s="1">
        <f t="shared" si="60"/>
        <v>0.5</v>
      </c>
      <c r="CK18" s="1">
        <f t="shared" si="61"/>
        <v>0.5501560959929969</v>
      </c>
      <c r="CL18" s="2">
        <f t="shared" si="62"/>
        <v>0.25632699684879956</v>
      </c>
      <c r="CM18" s="2">
        <f t="shared" si="63"/>
        <v>0.4714741095821368</v>
      </c>
      <c r="CN18" s="2">
        <f t="shared" si="64"/>
        <v>1.4475607697594717</v>
      </c>
      <c r="CO18" s="2">
        <f t="shared" si="65"/>
        <v>0.1715443198043054</v>
      </c>
      <c r="CP18" s="2">
        <f t="shared" si="66"/>
        <v>0.3430886396086108</v>
      </c>
      <c r="CQ18" s="2">
        <f t="shared" si="67"/>
        <v>0.07722454526311628</v>
      </c>
      <c r="CR18" s="2">
        <f t="shared" si="68"/>
        <v>0.15444909052623257</v>
      </c>
      <c r="CS18" s="2">
        <f t="shared" si="69"/>
        <v>0.015379619810927973</v>
      </c>
      <c r="CT18" s="2">
        <f t="shared" si="70"/>
        <v>5.960478119705243</v>
      </c>
      <c r="CU18" s="2">
        <f t="shared" si="71"/>
        <v>2.5228633985241125</v>
      </c>
      <c r="CV18" s="2">
        <f t="shared" si="72"/>
        <v>0.4037846306185231</v>
      </c>
      <c r="CW18" s="2">
        <f t="shared" si="73"/>
        <v>0.4037846306185231</v>
      </c>
      <c r="CX18" s="2">
        <f t="shared" si="74"/>
        <v>7.550772592566382</v>
      </c>
      <c r="CY18" s="2">
        <f t="shared" si="75"/>
        <v>1.7992274074336176</v>
      </c>
      <c r="CZ18" s="2">
        <f t="shared" si="76"/>
        <v>13.511250712271625</v>
      </c>
      <c r="DA18" s="2">
        <f t="shared" si="77"/>
        <v>4.32209080595773</v>
      </c>
    </row>
    <row r="19" spans="1:105" ht="10.5">
      <c r="A19" s="45"/>
      <c r="B19" s="46">
        <v>56</v>
      </c>
      <c r="C19" s="47">
        <v>38047</v>
      </c>
      <c r="D19" s="45">
        <v>1</v>
      </c>
      <c r="E19" s="46">
        <v>120</v>
      </c>
      <c r="F19" s="46">
        <v>60</v>
      </c>
      <c r="G19" s="46">
        <v>29</v>
      </c>
      <c r="H19" s="46">
        <v>5</v>
      </c>
      <c r="I19" s="46">
        <v>10</v>
      </c>
      <c r="J19" s="46">
        <v>25</v>
      </c>
      <c r="K19" s="46" t="s">
        <v>140</v>
      </c>
      <c r="L19" s="46">
        <v>1.5</v>
      </c>
      <c r="M19" s="46">
        <v>2</v>
      </c>
      <c r="N19" s="46">
        <v>3.5</v>
      </c>
      <c r="O19" s="46">
        <v>5</v>
      </c>
      <c r="P19" s="46">
        <v>2</v>
      </c>
      <c r="Q19" s="46">
        <v>1</v>
      </c>
      <c r="R19" s="46">
        <v>0.2</v>
      </c>
      <c r="S19" s="48"/>
      <c r="T19" s="49">
        <f t="shared" si="0"/>
        <v>15.002756424985698</v>
      </c>
      <c r="U19" s="49">
        <f t="shared" si="1"/>
        <v>840.154359799199</v>
      </c>
      <c r="V19" s="50"/>
      <c r="W19" s="9"/>
      <c r="X19" s="49">
        <f t="shared" si="2"/>
        <v>1.5</v>
      </c>
      <c r="Y19" s="49">
        <f t="shared" si="3"/>
        <v>2</v>
      </c>
      <c r="Z19" s="49">
        <f t="shared" si="4"/>
        <v>3.15</v>
      </c>
      <c r="AA19" s="49">
        <f t="shared" si="5"/>
        <v>3.7749010524930746</v>
      </c>
      <c r="AB19" s="49">
        <f t="shared" si="6"/>
        <v>0.7878553724926227</v>
      </c>
      <c r="AC19" s="49">
        <f t="shared" si="7"/>
        <v>0.05</v>
      </c>
      <c r="AD19" s="51">
        <f t="shared" si="8"/>
        <v>3.74</v>
      </c>
      <c r="AE19" s="52">
        <f t="shared" si="9"/>
        <v>2.6512776315789477</v>
      </c>
      <c r="AF19" s="53"/>
      <c r="AG19" s="52">
        <f t="shared" si="10"/>
        <v>665.9509505777634</v>
      </c>
      <c r="AH19" s="52">
        <f t="shared" si="11"/>
        <v>174.20340922143566</v>
      </c>
      <c r="AI19" s="54"/>
      <c r="AJ19" s="1">
        <f t="shared" si="12"/>
        <v>25</v>
      </c>
      <c r="AK19" s="1">
        <f t="shared" si="13"/>
        <v>6.9</v>
      </c>
      <c r="AL19" s="1">
        <f t="shared" si="14"/>
        <v>1.4794685990338161</v>
      </c>
      <c r="AM19" s="1">
        <f t="shared" si="15"/>
        <v>1.695237229171822</v>
      </c>
      <c r="AN19" s="1">
        <f t="shared" si="16"/>
        <v>8.304762770828178</v>
      </c>
      <c r="AO19" s="1">
        <f t="shared" si="17"/>
        <v>1.0976951917606925</v>
      </c>
      <c r="AP19" s="1">
        <f t="shared" si="18"/>
        <v>0.9</v>
      </c>
      <c r="AQ19" s="1">
        <f t="shared" si="19"/>
        <v>0.9</v>
      </c>
      <c r="AR19" s="1">
        <f t="shared" si="20"/>
        <v>1</v>
      </c>
      <c r="AS19" s="1">
        <f ca="1" t="shared" si="21"/>
        <v>11.194244209423442</v>
      </c>
      <c r="AT19" s="1">
        <f t="shared" si="22"/>
        <v>25</v>
      </c>
      <c r="AU19" s="1">
        <v>-0.096</v>
      </c>
      <c r="AV19" s="1">
        <v>4.6495</v>
      </c>
      <c r="AW19" s="1">
        <v>-0.1251</v>
      </c>
      <c r="AX19" s="1">
        <v>6.27</v>
      </c>
      <c r="AY19" s="1">
        <f t="shared" si="23"/>
        <v>1</v>
      </c>
      <c r="AZ19" s="1">
        <f t="shared" si="24"/>
        <v>-0.1251</v>
      </c>
      <c r="BA19" s="1">
        <f t="shared" si="25"/>
        <v>6.27</v>
      </c>
      <c r="BB19" s="1">
        <f t="shared" si="26"/>
        <v>-0.1251</v>
      </c>
      <c r="BC19" s="1">
        <f t="shared" si="27"/>
        <v>6.27</v>
      </c>
      <c r="BD19" s="1">
        <f t="shared" si="28"/>
        <v>3.1425</v>
      </c>
      <c r="BE19" s="1">
        <f t="shared" si="29"/>
        <v>38</v>
      </c>
      <c r="BF19" s="1">
        <f t="shared" si="30"/>
        <v>1</v>
      </c>
      <c r="BG19" s="1">
        <f t="shared" si="31"/>
        <v>38</v>
      </c>
      <c r="BH19" s="1">
        <f t="shared" si="32"/>
        <v>76</v>
      </c>
      <c r="BI19" s="1">
        <f t="shared" si="33"/>
        <v>1</v>
      </c>
      <c r="BJ19" s="1">
        <f t="shared" si="34"/>
        <v>152</v>
      </c>
      <c r="BK19" s="1">
        <f t="shared" si="35"/>
        <v>76</v>
      </c>
      <c r="BL19" s="1">
        <f t="shared" si="36"/>
        <v>2.4210526315789473</v>
      </c>
      <c r="BM19" s="1">
        <f t="shared" si="37"/>
        <v>1</v>
      </c>
      <c r="BN19" s="1">
        <f t="shared" si="38"/>
        <v>1</v>
      </c>
      <c r="BO19" s="1" t="b">
        <f t="shared" si="39"/>
        <v>0</v>
      </c>
      <c r="BP19" s="1">
        <f t="shared" si="40"/>
        <v>2.4210526315789473</v>
      </c>
      <c r="BQ19" s="53">
        <f t="shared" si="41"/>
        <v>2.4210526315789473</v>
      </c>
      <c r="BR19" s="54">
        <f t="shared" si="42"/>
        <v>45.26363157894737</v>
      </c>
      <c r="BS19" s="1">
        <f t="shared" si="43"/>
        <v>2.4210526315789473</v>
      </c>
      <c r="BT19" s="1">
        <f t="shared" si="44"/>
        <v>2.4210526315789473</v>
      </c>
      <c r="BU19" s="1">
        <f t="shared" si="45"/>
        <v>0.8436842105263158</v>
      </c>
      <c r="BV19" s="1">
        <f t="shared" si="46"/>
        <v>5.25</v>
      </c>
      <c r="BW19" s="1">
        <f t="shared" si="47"/>
        <v>0.754980210498615</v>
      </c>
      <c r="BX19" s="1">
        <f t="shared" si="48"/>
        <v>11.97</v>
      </c>
      <c r="BY19" s="1">
        <f t="shared" si="49"/>
        <v>0.39392768624631136</v>
      </c>
      <c r="BZ19" s="1">
        <f t="shared" si="50"/>
        <v>0.05</v>
      </c>
      <c r="CA19" s="1">
        <f t="shared" si="51"/>
        <v>4.612756424985697</v>
      </c>
      <c r="CB19" s="1">
        <f t="shared" si="52"/>
        <v>11.262756424985698</v>
      </c>
      <c r="CC19" s="1">
        <f t="shared" si="53"/>
        <v>1</v>
      </c>
      <c r="CD19" s="1">
        <f t="shared" si="54"/>
        <v>0.8598676477207834</v>
      </c>
      <c r="CE19" s="1">
        <f t="shared" si="55"/>
        <v>2.3339264723849835</v>
      </c>
      <c r="CF19" s="1">
        <f t="shared" si="56"/>
        <v>0.7999271162241848</v>
      </c>
      <c r="CG19" s="1">
        <f t="shared" si="57"/>
        <v>1.8421542403826743</v>
      </c>
      <c r="CH19" s="1">
        <f t="shared" si="58"/>
        <v>2.9942681173642134</v>
      </c>
      <c r="CI19" s="1">
        <f t="shared" si="59"/>
        <v>1.8421542403826743</v>
      </c>
      <c r="CJ19" s="1">
        <f t="shared" si="60"/>
        <v>0.5</v>
      </c>
      <c r="CK19" s="1">
        <f t="shared" si="61"/>
        <v>0.9210771201913371</v>
      </c>
      <c r="CL19" s="2">
        <f t="shared" si="62"/>
        <v>0.34267865663611785</v>
      </c>
      <c r="CM19" s="2">
        <f t="shared" si="63"/>
        <v>0.908536257158862</v>
      </c>
      <c r="CN19" s="2">
        <f t="shared" si="64"/>
        <v>2.761958945289611</v>
      </c>
      <c r="CO19" s="2">
        <f t="shared" si="65"/>
        <v>0.3161611816633403</v>
      </c>
      <c r="CP19" s="2">
        <f t="shared" si="66"/>
        <v>1.5808059083167014</v>
      </c>
      <c r="CQ19" s="2">
        <f t="shared" si="67"/>
        <v>0.14604123693954274</v>
      </c>
      <c r="CR19" s="2">
        <f t="shared" si="68"/>
        <v>0.2920824738790855</v>
      </c>
      <c r="CS19" s="2">
        <f t="shared" si="69"/>
        <v>0.017133932831805893</v>
      </c>
      <c r="CT19" s="2">
        <f t="shared" si="70"/>
        <v>8.151981260317203</v>
      </c>
      <c r="CU19" s="2">
        <f t="shared" si="71"/>
        <v>3.1107751646684942</v>
      </c>
      <c r="CV19" s="2">
        <f t="shared" si="72"/>
        <v>0.4898744535896522</v>
      </c>
      <c r="CW19" s="2">
        <f t="shared" si="73"/>
        <v>0.4898744535896522</v>
      </c>
      <c r="CX19" s="2">
        <f t="shared" si="74"/>
        <v>3.74</v>
      </c>
      <c r="CY19" s="2">
        <f t="shared" si="75"/>
        <v>0</v>
      </c>
      <c r="CZ19" s="2">
        <f t="shared" si="76"/>
        <v>11.891981260317204</v>
      </c>
      <c r="DA19" s="2">
        <f t="shared" si="77"/>
        <v>3.1107751646684942</v>
      </c>
    </row>
    <row r="20" spans="1:105" ht="10.5">
      <c r="A20" s="45"/>
      <c r="B20" s="46"/>
      <c r="C20" s="47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8"/>
      <c r="T20" s="49" t="e">
        <f t="shared" si="0"/>
        <v>#DIV/0!</v>
      </c>
      <c r="U20" s="49" t="e">
        <f t="shared" si="1"/>
        <v>#DIV/0!</v>
      </c>
      <c r="V20" s="50"/>
      <c r="W20" s="9"/>
      <c r="X20" s="49">
        <f t="shared" si="2"/>
        <v>0</v>
      </c>
      <c r="Y20" s="49">
        <f t="shared" si="3"/>
        <v>0</v>
      </c>
      <c r="Z20" s="49">
        <f t="shared" si="4"/>
        <v>0</v>
      </c>
      <c r="AA20" s="49" t="e">
        <f t="shared" si="5"/>
        <v>#DIV/0!</v>
      </c>
      <c r="AB20" s="49" t="e">
        <f t="shared" si="6"/>
        <v>#DIV/0!</v>
      </c>
      <c r="AC20" s="49">
        <f t="shared" si="7"/>
        <v>0</v>
      </c>
      <c r="AD20" s="51" t="e">
        <f t="shared" si="8"/>
        <v>#DIV/0!</v>
      </c>
      <c r="AE20" s="52" t="e">
        <f t="shared" si="9"/>
        <v>#DIV/0!</v>
      </c>
      <c r="AF20" s="53"/>
      <c r="AG20" s="52" t="e">
        <f t="shared" si="10"/>
        <v>#DIV/0!</v>
      </c>
      <c r="AH20" s="52" t="e">
        <f t="shared" si="11"/>
        <v>#DIV/0!</v>
      </c>
      <c r="AI20" s="54"/>
      <c r="AJ20" s="1" t="b">
        <f t="shared" si="12"/>
        <v>0</v>
      </c>
      <c r="AK20" s="1">
        <f t="shared" si="13"/>
        <v>6.9</v>
      </c>
      <c r="AL20" s="1">
        <f t="shared" si="14"/>
        <v>0</v>
      </c>
      <c r="AM20" s="1">
        <f t="shared" si="15"/>
        <v>0</v>
      </c>
      <c r="AN20" s="1">
        <f t="shared" si="16"/>
        <v>0</v>
      </c>
      <c r="AO20" s="1">
        <f t="shared" si="17"/>
        <v>1.542</v>
      </c>
      <c r="AP20" s="1">
        <f t="shared" si="18"/>
        <v>0.9</v>
      </c>
      <c r="AQ20" s="1">
        <f t="shared" si="19"/>
        <v>0.9</v>
      </c>
      <c r="AR20" s="1">
        <f t="shared" si="20"/>
        <v>0</v>
      </c>
      <c r="AS20" s="1">
        <f ca="1" t="shared" si="21"/>
        <v>0</v>
      </c>
      <c r="AT20" s="1">
        <f t="shared" si="22"/>
        <v>0</v>
      </c>
      <c r="AU20" s="1">
        <v>-0.096</v>
      </c>
      <c r="AV20" s="1">
        <v>4.6495</v>
      </c>
      <c r="AW20" s="1">
        <v>-0.1251</v>
      </c>
      <c r="AX20" s="1">
        <v>6.27</v>
      </c>
      <c r="AY20" s="1">
        <f t="shared" si="23"/>
        <v>1</v>
      </c>
      <c r="AZ20" s="1">
        <f t="shared" si="24"/>
        <v>-0.1251</v>
      </c>
      <c r="BA20" s="1">
        <f t="shared" si="25"/>
        <v>6.27</v>
      </c>
      <c r="BB20" s="1">
        <f t="shared" si="26"/>
        <v>-0.1251</v>
      </c>
      <c r="BC20" s="1">
        <f t="shared" si="27"/>
        <v>6.27</v>
      </c>
      <c r="BD20" s="1">
        <f t="shared" si="28"/>
        <v>6.27</v>
      </c>
      <c r="BE20" s="1">
        <f t="shared" si="29"/>
        <v>0</v>
      </c>
      <c r="BF20" s="1">
        <f t="shared" si="30"/>
        <v>3</v>
      </c>
      <c r="BG20" s="1">
        <f t="shared" si="31"/>
        <v>1</v>
      </c>
      <c r="BH20" s="1">
        <f t="shared" si="32"/>
        <v>1</v>
      </c>
      <c r="BI20" s="1">
        <f t="shared" si="33"/>
        <v>1</v>
      </c>
      <c r="BJ20" s="1">
        <f t="shared" si="34"/>
        <v>0</v>
      </c>
      <c r="BK20" s="1">
        <f t="shared" si="35"/>
        <v>1</v>
      </c>
      <c r="BL20" s="1">
        <f t="shared" si="36"/>
        <v>1</v>
      </c>
      <c r="BM20" s="1">
        <f t="shared" si="37"/>
        <v>0</v>
      </c>
      <c r="BN20" s="1">
        <f t="shared" si="38"/>
        <v>0</v>
      </c>
      <c r="BO20" s="1" t="e">
        <f t="shared" si="39"/>
        <v>#DIV/0!</v>
      </c>
      <c r="BP20" s="1" t="e">
        <f t="shared" si="40"/>
        <v>#DIV/0!</v>
      </c>
      <c r="BQ20" s="53" t="e">
        <f t="shared" si="41"/>
        <v>#DIV/0!</v>
      </c>
      <c r="BR20" s="54" t="e">
        <f t="shared" si="42"/>
        <v>#DIV/0!</v>
      </c>
      <c r="BS20" s="1" t="e">
        <f t="shared" si="43"/>
        <v>#DIV/0!</v>
      </c>
      <c r="BT20" s="1" t="e">
        <f t="shared" si="44"/>
        <v>#DIV/0!</v>
      </c>
      <c r="BU20" s="1" t="e">
        <f t="shared" si="45"/>
        <v>#DIV/0!</v>
      </c>
      <c r="BV20" s="1">
        <f t="shared" si="46"/>
        <v>5.25</v>
      </c>
      <c r="BW20" s="1" t="e">
        <f t="shared" si="47"/>
        <v>#DIV/0!</v>
      </c>
      <c r="BX20" s="1">
        <f t="shared" si="48"/>
        <v>11.97</v>
      </c>
      <c r="BY20" s="1" t="e">
        <f t="shared" si="49"/>
        <v>#DIV/0!</v>
      </c>
      <c r="BZ20" s="1">
        <f t="shared" si="50"/>
        <v>0.05</v>
      </c>
      <c r="CA20" s="1" t="e">
        <f t="shared" si="51"/>
        <v>#DIV/0!</v>
      </c>
      <c r="CB20" s="1" t="e">
        <f t="shared" si="52"/>
        <v>#DIV/0!</v>
      </c>
      <c r="CC20" s="1" t="e">
        <f t="shared" si="53"/>
        <v>#DIV/0!</v>
      </c>
      <c r="CD20" s="1">
        <f t="shared" si="54"/>
        <v>0</v>
      </c>
      <c r="CE20" s="1">
        <f t="shared" si="55"/>
        <v>0</v>
      </c>
      <c r="CF20" s="1" t="e">
        <f t="shared" si="56"/>
        <v>#DIV/0!</v>
      </c>
      <c r="CG20" s="1" t="e">
        <f t="shared" si="57"/>
        <v>#DIV/0!</v>
      </c>
      <c r="CH20" s="1" t="e">
        <f t="shared" si="58"/>
        <v>#DIV/0!</v>
      </c>
      <c r="CI20" s="1" t="e">
        <f t="shared" si="59"/>
        <v>#DIV/0!</v>
      </c>
      <c r="CJ20" s="1">
        <f t="shared" si="60"/>
        <v>0.5</v>
      </c>
      <c r="CK20" s="1" t="e">
        <f t="shared" si="61"/>
        <v>#DIV/0!</v>
      </c>
      <c r="CL20" s="2">
        <f t="shared" si="62"/>
        <v>0</v>
      </c>
      <c r="CM20" s="2" t="e">
        <f t="shared" si="63"/>
        <v>#DIV/0!</v>
      </c>
      <c r="CN20" s="2" t="e">
        <f t="shared" si="64"/>
        <v>#DIV/0!</v>
      </c>
      <c r="CO20" s="2" t="e">
        <f t="shared" si="65"/>
        <v>#DIV/0!</v>
      </c>
      <c r="CP20" s="2" t="e">
        <f t="shared" si="66"/>
        <v>#DIV/0!</v>
      </c>
      <c r="CQ20" s="2" t="e">
        <f t="shared" si="67"/>
        <v>#DIV/0!</v>
      </c>
      <c r="CR20" s="2" t="e">
        <f t="shared" si="68"/>
        <v>#DIV/0!</v>
      </c>
      <c r="CS20" s="2">
        <f t="shared" si="69"/>
        <v>0</v>
      </c>
      <c r="CT20" s="2" t="e">
        <f t="shared" si="70"/>
        <v>#DIV/0!</v>
      </c>
      <c r="CU20" s="2" t="e">
        <f t="shared" si="71"/>
        <v>#DIV/0!</v>
      </c>
      <c r="CV20" s="2" t="e">
        <f t="shared" si="72"/>
        <v>#DIV/0!</v>
      </c>
      <c r="CW20" s="2" t="e">
        <f t="shared" si="73"/>
        <v>#DIV/0!</v>
      </c>
      <c r="CX20" s="2" t="e">
        <f t="shared" si="74"/>
        <v>#DIV/0!</v>
      </c>
      <c r="CY20" s="2" t="e">
        <f t="shared" si="75"/>
        <v>#DIV/0!</v>
      </c>
      <c r="CZ20" s="2" t="e">
        <f t="shared" si="76"/>
        <v>#DIV/0!</v>
      </c>
      <c r="DA20" s="2" t="e">
        <f t="shared" si="77"/>
        <v>#DIV/0!</v>
      </c>
    </row>
    <row r="21" spans="1:105" ht="10.5">
      <c r="A21" s="45"/>
      <c r="B21" s="46"/>
      <c r="C21" s="47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8"/>
      <c r="T21" s="49" t="e">
        <f t="shared" si="0"/>
        <v>#DIV/0!</v>
      </c>
      <c r="U21" s="49" t="e">
        <f t="shared" si="1"/>
        <v>#DIV/0!</v>
      </c>
      <c r="V21" s="50"/>
      <c r="W21" s="9"/>
      <c r="X21" s="49">
        <f t="shared" si="2"/>
        <v>0</v>
      </c>
      <c r="Y21" s="49">
        <f t="shared" si="3"/>
        <v>0</v>
      </c>
      <c r="Z21" s="49">
        <f t="shared" si="4"/>
        <v>0</v>
      </c>
      <c r="AA21" s="49" t="e">
        <f t="shared" si="5"/>
        <v>#DIV/0!</v>
      </c>
      <c r="AB21" s="49" t="e">
        <f t="shared" si="6"/>
        <v>#DIV/0!</v>
      </c>
      <c r="AC21" s="49">
        <f t="shared" si="7"/>
        <v>0</v>
      </c>
      <c r="AD21" s="51" t="e">
        <f t="shared" si="8"/>
        <v>#DIV/0!</v>
      </c>
      <c r="AE21" s="52" t="e">
        <f t="shared" si="9"/>
        <v>#DIV/0!</v>
      </c>
      <c r="AF21" s="53"/>
      <c r="AG21" s="52" t="e">
        <f t="shared" si="10"/>
        <v>#DIV/0!</v>
      </c>
      <c r="AH21" s="52" t="e">
        <f t="shared" si="11"/>
        <v>#DIV/0!</v>
      </c>
      <c r="AI21" s="54"/>
      <c r="AJ21" s="1" t="b">
        <f t="shared" si="12"/>
        <v>0</v>
      </c>
      <c r="AK21" s="1">
        <f t="shared" si="13"/>
        <v>6.9</v>
      </c>
      <c r="AL21" s="1">
        <f t="shared" si="14"/>
        <v>0</v>
      </c>
      <c r="AM21" s="1">
        <f t="shared" si="15"/>
        <v>0</v>
      </c>
      <c r="AN21" s="1">
        <f t="shared" si="16"/>
        <v>0</v>
      </c>
      <c r="AO21" s="1">
        <f t="shared" si="17"/>
        <v>1.542</v>
      </c>
      <c r="AP21" s="1">
        <f t="shared" si="18"/>
        <v>0.9</v>
      </c>
      <c r="AQ21" s="1">
        <f t="shared" si="19"/>
        <v>0.9</v>
      </c>
      <c r="AR21" s="1">
        <f t="shared" si="20"/>
        <v>0</v>
      </c>
      <c r="AS21" s="1">
        <f ca="1" t="shared" si="21"/>
        <v>0</v>
      </c>
      <c r="AT21" s="1">
        <f t="shared" si="22"/>
        <v>0</v>
      </c>
      <c r="AU21" s="1">
        <v>-0.096</v>
      </c>
      <c r="AV21" s="1">
        <v>4.6495</v>
      </c>
      <c r="AW21" s="1">
        <v>-0.1251</v>
      </c>
      <c r="AX21" s="1">
        <v>6.27</v>
      </c>
      <c r="AY21" s="1">
        <f t="shared" si="23"/>
        <v>1</v>
      </c>
      <c r="AZ21" s="1">
        <f t="shared" si="24"/>
        <v>-0.1251</v>
      </c>
      <c r="BA21" s="1">
        <f t="shared" si="25"/>
        <v>6.27</v>
      </c>
      <c r="BB21" s="1">
        <f t="shared" si="26"/>
        <v>-0.1251</v>
      </c>
      <c r="BC21" s="1">
        <f t="shared" si="27"/>
        <v>6.27</v>
      </c>
      <c r="BD21" s="1">
        <f t="shared" si="28"/>
        <v>6.27</v>
      </c>
      <c r="BE21" s="1">
        <f t="shared" si="29"/>
        <v>0</v>
      </c>
      <c r="BF21" s="1">
        <f t="shared" si="30"/>
        <v>3</v>
      </c>
      <c r="BG21" s="1">
        <f t="shared" si="31"/>
        <v>1</v>
      </c>
      <c r="BH21" s="1">
        <f t="shared" si="32"/>
        <v>1</v>
      </c>
      <c r="BI21" s="1">
        <f t="shared" si="33"/>
        <v>1</v>
      </c>
      <c r="BJ21" s="1">
        <f t="shared" si="34"/>
        <v>0</v>
      </c>
      <c r="BK21" s="1">
        <f t="shared" si="35"/>
        <v>1</v>
      </c>
      <c r="BL21" s="1">
        <f t="shared" si="36"/>
        <v>1</v>
      </c>
      <c r="BM21" s="1">
        <f t="shared" si="37"/>
        <v>0</v>
      </c>
      <c r="BN21" s="1">
        <f t="shared" si="38"/>
        <v>0</v>
      </c>
      <c r="BO21" s="1" t="e">
        <f t="shared" si="39"/>
        <v>#DIV/0!</v>
      </c>
      <c r="BP21" s="1" t="e">
        <f t="shared" si="40"/>
        <v>#DIV/0!</v>
      </c>
      <c r="BQ21" s="53" t="e">
        <f t="shared" si="41"/>
        <v>#DIV/0!</v>
      </c>
      <c r="BR21" s="54" t="e">
        <f t="shared" si="42"/>
        <v>#DIV/0!</v>
      </c>
      <c r="BS21" s="1" t="e">
        <f t="shared" si="43"/>
        <v>#DIV/0!</v>
      </c>
      <c r="BT21" s="1" t="e">
        <f t="shared" si="44"/>
        <v>#DIV/0!</v>
      </c>
      <c r="BU21" s="1" t="e">
        <f t="shared" si="45"/>
        <v>#DIV/0!</v>
      </c>
      <c r="BV21" s="1">
        <f t="shared" si="46"/>
        <v>5.25</v>
      </c>
      <c r="BW21" s="1" t="e">
        <f t="shared" si="47"/>
        <v>#DIV/0!</v>
      </c>
      <c r="BX21" s="1">
        <f t="shared" si="48"/>
        <v>11.97</v>
      </c>
      <c r="BY21" s="1" t="e">
        <f t="shared" si="49"/>
        <v>#DIV/0!</v>
      </c>
      <c r="BZ21" s="1">
        <f t="shared" si="50"/>
        <v>0.05</v>
      </c>
      <c r="CA21" s="1" t="e">
        <f t="shared" si="51"/>
        <v>#DIV/0!</v>
      </c>
      <c r="CB21" s="1" t="e">
        <f t="shared" si="52"/>
        <v>#DIV/0!</v>
      </c>
      <c r="CC21" s="1" t="e">
        <f t="shared" si="53"/>
        <v>#DIV/0!</v>
      </c>
      <c r="CD21" s="1">
        <f t="shared" si="54"/>
        <v>0</v>
      </c>
      <c r="CE21" s="1">
        <f t="shared" si="55"/>
        <v>0</v>
      </c>
      <c r="CF21" s="1" t="e">
        <f t="shared" si="56"/>
        <v>#DIV/0!</v>
      </c>
      <c r="CG21" s="1" t="e">
        <f t="shared" si="57"/>
        <v>#DIV/0!</v>
      </c>
      <c r="CH21" s="1" t="e">
        <f t="shared" si="58"/>
        <v>#DIV/0!</v>
      </c>
      <c r="CI21" s="1" t="e">
        <f t="shared" si="59"/>
        <v>#DIV/0!</v>
      </c>
      <c r="CJ21" s="1">
        <f t="shared" si="60"/>
        <v>0.5</v>
      </c>
      <c r="CK21" s="1" t="e">
        <f t="shared" si="61"/>
        <v>#DIV/0!</v>
      </c>
      <c r="CL21" s="2">
        <f t="shared" si="62"/>
        <v>0</v>
      </c>
      <c r="CM21" s="2" t="e">
        <f t="shared" si="63"/>
        <v>#DIV/0!</v>
      </c>
      <c r="CN21" s="2" t="e">
        <f t="shared" si="64"/>
        <v>#DIV/0!</v>
      </c>
      <c r="CO21" s="2" t="e">
        <f t="shared" si="65"/>
        <v>#DIV/0!</v>
      </c>
      <c r="CP21" s="2" t="e">
        <f t="shared" si="66"/>
        <v>#DIV/0!</v>
      </c>
      <c r="CQ21" s="2" t="e">
        <f t="shared" si="67"/>
        <v>#DIV/0!</v>
      </c>
      <c r="CR21" s="2" t="e">
        <f t="shared" si="68"/>
        <v>#DIV/0!</v>
      </c>
      <c r="CS21" s="2">
        <f t="shared" si="69"/>
        <v>0</v>
      </c>
      <c r="CT21" s="2" t="e">
        <f t="shared" si="70"/>
        <v>#DIV/0!</v>
      </c>
      <c r="CU21" s="2" t="e">
        <f t="shared" si="71"/>
        <v>#DIV/0!</v>
      </c>
      <c r="CV21" s="2" t="e">
        <f t="shared" si="72"/>
        <v>#DIV/0!</v>
      </c>
      <c r="CW21" s="2" t="e">
        <f t="shared" si="73"/>
        <v>#DIV/0!</v>
      </c>
      <c r="CX21" s="2" t="e">
        <f t="shared" si="74"/>
        <v>#DIV/0!</v>
      </c>
      <c r="CY21" s="2" t="e">
        <f t="shared" si="75"/>
        <v>#DIV/0!</v>
      </c>
      <c r="CZ21" s="2" t="e">
        <f t="shared" si="76"/>
        <v>#DIV/0!</v>
      </c>
      <c r="DA21" s="2" t="e">
        <f t="shared" si="77"/>
        <v>#DIV/0!</v>
      </c>
    </row>
    <row r="22" spans="1:105" ht="10.5">
      <c r="A22" s="45"/>
      <c r="B22" s="46"/>
      <c r="C22" s="47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  <c r="T22" s="49" t="e">
        <f t="shared" si="0"/>
        <v>#DIV/0!</v>
      </c>
      <c r="U22" s="49" t="e">
        <f t="shared" si="1"/>
        <v>#DIV/0!</v>
      </c>
      <c r="V22" s="50"/>
      <c r="W22" s="9"/>
      <c r="X22" s="49">
        <f t="shared" si="2"/>
        <v>0</v>
      </c>
      <c r="Y22" s="49">
        <f t="shared" si="3"/>
        <v>0</v>
      </c>
      <c r="Z22" s="49">
        <f t="shared" si="4"/>
        <v>0</v>
      </c>
      <c r="AA22" s="49" t="e">
        <f t="shared" si="5"/>
        <v>#DIV/0!</v>
      </c>
      <c r="AB22" s="49" t="e">
        <f t="shared" si="6"/>
        <v>#DIV/0!</v>
      </c>
      <c r="AC22" s="49">
        <f t="shared" si="7"/>
        <v>0</v>
      </c>
      <c r="AD22" s="51" t="e">
        <f t="shared" si="8"/>
        <v>#DIV/0!</v>
      </c>
      <c r="AE22" s="52" t="e">
        <f t="shared" si="9"/>
        <v>#DIV/0!</v>
      </c>
      <c r="AF22" s="53"/>
      <c r="AG22" s="52" t="e">
        <f t="shared" si="10"/>
        <v>#DIV/0!</v>
      </c>
      <c r="AH22" s="52" t="e">
        <f t="shared" si="11"/>
        <v>#DIV/0!</v>
      </c>
      <c r="AI22" s="54"/>
      <c r="AJ22" s="1" t="b">
        <f t="shared" si="12"/>
        <v>0</v>
      </c>
      <c r="AK22" s="1">
        <f t="shared" si="13"/>
        <v>6.9</v>
      </c>
      <c r="AL22" s="1">
        <f t="shared" si="14"/>
        <v>0</v>
      </c>
      <c r="AM22" s="1">
        <f t="shared" si="15"/>
        <v>0</v>
      </c>
      <c r="AN22" s="1">
        <f t="shared" si="16"/>
        <v>0</v>
      </c>
      <c r="AO22" s="1">
        <f t="shared" si="17"/>
        <v>1.542</v>
      </c>
      <c r="AP22" s="1">
        <f t="shared" si="18"/>
        <v>0.9</v>
      </c>
      <c r="AQ22" s="1">
        <f t="shared" si="19"/>
        <v>0.9</v>
      </c>
      <c r="AR22" s="1">
        <f t="shared" si="20"/>
        <v>0</v>
      </c>
      <c r="AS22" s="1">
        <f ca="1" t="shared" si="21"/>
        <v>0</v>
      </c>
      <c r="AT22" s="1">
        <f t="shared" si="22"/>
        <v>0</v>
      </c>
      <c r="AU22" s="1">
        <v>-0.096</v>
      </c>
      <c r="AV22" s="1">
        <v>4.6495</v>
      </c>
      <c r="AW22" s="1">
        <v>-0.1251</v>
      </c>
      <c r="AX22" s="1">
        <v>6.27</v>
      </c>
      <c r="AY22" s="1">
        <f t="shared" si="23"/>
        <v>1</v>
      </c>
      <c r="AZ22" s="1">
        <f t="shared" si="24"/>
        <v>-0.1251</v>
      </c>
      <c r="BA22" s="1">
        <f t="shared" si="25"/>
        <v>6.27</v>
      </c>
      <c r="BB22" s="1">
        <f t="shared" si="26"/>
        <v>-0.1251</v>
      </c>
      <c r="BC22" s="1">
        <f t="shared" si="27"/>
        <v>6.27</v>
      </c>
      <c r="BD22" s="1">
        <f t="shared" si="28"/>
        <v>6.27</v>
      </c>
      <c r="BE22" s="1">
        <f t="shared" si="29"/>
        <v>0</v>
      </c>
      <c r="BF22" s="1">
        <f t="shared" si="30"/>
        <v>3</v>
      </c>
      <c r="BG22" s="1">
        <f t="shared" si="31"/>
        <v>1</v>
      </c>
      <c r="BH22" s="1">
        <f t="shared" si="32"/>
        <v>1</v>
      </c>
      <c r="BI22" s="1">
        <f t="shared" si="33"/>
        <v>1</v>
      </c>
      <c r="BJ22" s="1">
        <f t="shared" si="34"/>
        <v>0</v>
      </c>
      <c r="BK22" s="1">
        <f t="shared" si="35"/>
        <v>1</v>
      </c>
      <c r="BL22" s="1">
        <f t="shared" si="36"/>
        <v>1</v>
      </c>
      <c r="BM22" s="1">
        <f t="shared" si="37"/>
        <v>0</v>
      </c>
      <c r="BN22" s="1">
        <f t="shared" si="38"/>
        <v>0</v>
      </c>
      <c r="BO22" s="1" t="e">
        <f t="shared" si="39"/>
        <v>#DIV/0!</v>
      </c>
      <c r="BP22" s="1" t="e">
        <f t="shared" si="40"/>
        <v>#DIV/0!</v>
      </c>
      <c r="BQ22" s="53" t="e">
        <f t="shared" si="41"/>
        <v>#DIV/0!</v>
      </c>
      <c r="BR22" s="54" t="e">
        <f t="shared" si="42"/>
        <v>#DIV/0!</v>
      </c>
      <c r="BS22" s="1" t="e">
        <f t="shared" si="43"/>
        <v>#DIV/0!</v>
      </c>
      <c r="BT22" s="1" t="e">
        <f t="shared" si="44"/>
        <v>#DIV/0!</v>
      </c>
      <c r="BU22" s="1" t="e">
        <f t="shared" si="45"/>
        <v>#DIV/0!</v>
      </c>
      <c r="BV22" s="1">
        <f t="shared" si="46"/>
        <v>5.25</v>
      </c>
      <c r="BW22" s="1" t="e">
        <f t="shared" si="47"/>
        <v>#DIV/0!</v>
      </c>
      <c r="BX22" s="1">
        <f t="shared" si="48"/>
        <v>11.97</v>
      </c>
      <c r="BY22" s="1" t="e">
        <f t="shared" si="49"/>
        <v>#DIV/0!</v>
      </c>
      <c r="BZ22" s="1">
        <f t="shared" si="50"/>
        <v>0.05</v>
      </c>
      <c r="CA22" s="1" t="e">
        <f t="shared" si="51"/>
        <v>#DIV/0!</v>
      </c>
      <c r="CB22" s="1" t="e">
        <f t="shared" si="52"/>
        <v>#DIV/0!</v>
      </c>
      <c r="CC22" s="1" t="e">
        <f t="shared" si="53"/>
        <v>#DIV/0!</v>
      </c>
      <c r="CD22" s="1">
        <f t="shared" si="54"/>
        <v>0</v>
      </c>
      <c r="CE22" s="1">
        <f t="shared" si="55"/>
        <v>0</v>
      </c>
      <c r="CF22" s="1" t="e">
        <f t="shared" si="56"/>
        <v>#DIV/0!</v>
      </c>
      <c r="CG22" s="1" t="e">
        <f t="shared" si="57"/>
        <v>#DIV/0!</v>
      </c>
      <c r="CH22" s="1" t="e">
        <f t="shared" si="58"/>
        <v>#DIV/0!</v>
      </c>
      <c r="CI22" s="1" t="e">
        <f t="shared" si="59"/>
        <v>#DIV/0!</v>
      </c>
      <c r="CJ22" s="1">
        <f t="shared" si="60"/>
        <v>0.5</v>
      </c>
      <c r="CK22" s="1" t="e">
        <f t="shared" si="61"/>
        <v>#DIV/0!</v>
      </c>
      <c r="CL22" s="2">
        <f t="shared" si="62"/>
        <v>0</v>
      </c>
      <c r="CM22" s="2" t="e">
        <f t="shared" si="63"/>
        <v>#DIV/0!</v>
      </c>
      <c r="CN22" s="2" t="e">
        <f t="shared" si="64"/>
        <v>#DIV/0!</v>
      </c>
      <c r="CO22" s="2" t="e">
        <f t="shared" si="65"/>
        <v>#DIV/0!</v>
      </c>
      <c r="CP22" s="2" t="e">
        <f t="shared" si="66"/>
        <v>#DIV/0!</v>
      </c>
      <c r="CQ22" s="2" t="e">
        <f t="shared" si="67"/>
        <v>#DIV/0!</v>
      </c>
      <c r="CR22" s="2" t="e">
        <f t="shared" si="68"/>
        <v>#DIV/0!</v>
      </c>
      <c r="CS22" s="2">
        <f t="shared" si="69"/>
        <v>0</v>
      </c>
      <c r="CT22" s="2" t="e">
        <f t="shared" si="70"/>
        <v>#DIV/0!</v>
      </c>
      <c r="CU22" s="2" t="e">
        <f t="shared" si="71"/>
        <v>#DIV/0!</v>
      </c>
      <c r="CV22" s="2" t="e">
        <f t="shared" si="72"/>
        <v>#DIV/0!</v>
      </c>
      <c r="CW22" s="2" t="e">
        <f t="shared" si="73"/>
        <v>#DIV/0!</v>
      </c>
      <c r="CX22" s="2" t="e">
        <f t="shared" si="74"/>
        <v>#DIV/0!</v>
      </c>
      <c r="CY22" s="2" t="e">
        <f t="shared" si="75"/>
        <v>#DIV/0!</v>
      </c>
      <c r="CZ22" s="2" t="e">
        <f t="shared" si="76"/>
        <v>#DIV/0!</v>
      </c>
      <c r="DA22" s="2" t="e">
        <f t="shared" si="77"/>
        <v>#DIV/0!</v>
      </c>
    </row>
    <row r="23" spans="1:105" ht="10.5">
      <c r="A23" s="45"/>
      <c r="B23" s="46"/>
      <c r="C23" s="47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  <c r="T23" s="49" t="e">
        <f t="shared" si="0"/>
        <v>#DIV/0!</v>
      </c>
      <c r="U23" s="49" t="e">
        <f t="shared" si="1"/>
        <v>#DIV/0!</v>
      </c>
      <c r="V23" s="50"/>
      <c r="W23" s="9"/>
      <c r="X23" s="49">
        <f t="shared" si="2"/>
        <v>0</v>
      </c>
      <c r="Y23" s="49">
        <f t="shared" si="3"/>
        <v>0</v>
      </c>
      <c r="Z23" s="49">
        <f t="shared" si="4"/>
        <v>0</v>
      </c>
      <c r="AA23" s="49" t="e">
        <f t="shared" si="5"/>
        <v>#DIV/0!</v>
      </c>
      <c r="AB23" s="49" t="e">
        <f t="shared" si="6"/>
        <v>#DIV/0!</v>
      </c>
      <c r="AC23" s="49">
        <f t="shared" si="7"/>
        <v>0</v>
      </c>
      <c r="AD23" s="51" t="e">
        <f t="shared" si="8"/>
        <v>#DIV/0!</v>
      </c>
      <c r="AE23" s="52" t="e">
        <f t="shared" si="9"/>
        <v>#DIV/0!</v>
      </c>
      <c r="AF23" s="53"/>
      <c r="AG23" s="52" t="e">
        <f t="shared" si="10"/>
        <v>#DIV/0!</v>
      </c>
      <c r="AH23" s="52" t="e">
        <f t="shared" si="11"/>
        <v>#DIV/0!</v>
      </c>
      <c r="AI23" s="54"/>
      <c r="AJ23" s="1" t="b">
        <f t="shared" si="12"/>
        <v>0</v>
      </c>
      <c r="AK23" s="1">
        <f t="shared" si="13"/>
        <v>6.9</v>
      </c>
      <c r="AL23" s="1">
        <f t="shared" si="14"/>
        <v>0</v>
      </c>
      <c r="AM23" s="1">
        <f t="shared" si="15"/>
        <v>0</v>
      </c>
      <c r="AN23" s="1">
        <f t="shared" si="16"/>
        <v>0</v>
      </c>
      <c r="AO23" s="1">
        <f t="shared" si="17"/>
        <v>1.542</v>
      </c>
      <c r="AP23" s="1">
        <f t="shared" si="18"/>
        <v>0.9</v>
      </c>
      <c r="AQ23" s="1">
        <f t="shared" si="19"/>
        <v>0.9</v>
      </c>
      <c r="AR23" s="1">
        <f t="shared" si="20"/>
        <v>0</v>
      </c>
      <c r="AS23" s="1">
        <f ca="1" t="shared" si="21"/>
        <v>0</v>
      </c>
      <c r="AT23" s="1">
        <f t="shared" si="22"/>
        <v>0</v>
      </c>
      <c r="AU23" s="1">
        <v>-0.096</v>
      </c>
      <c r="AV23" s="1">
        <v>4.6495</v>
      </c>
      <c r="AW23" s="1">
        <v>-0.1251</v>
      </c>
      <c r="AX23" s="1">
        <v>6.27</v>
      </c>
      <c r="AY23" s="1">
        <f t="shared" si="23"/>
        <v>1</v>
      </c>
      <c r="AZ23" s="1">
        <f t="shared" si="24"/>
        <v>-0.1251</v>
      </c>
      <c r="BA23" s="1">
        <f t="shared" si="25"/>
        <v>6.27</v>
      </c>
      <c r="BB23" s="1">
        <f t="shared" si="26"/>
        <v>-0.1251</v>
      </c>
      <c r="BC23" s="1">
        <f t="shared" si="27"/>
        <v>6.27</v>
      </c>
      <c r="BD23" s="1">
        <f t="shared" si="28"/>
        <v>6.27</v>
      </c>
      <c r="BE23" s="1">
        <f t="shared" si="29"/>
        <v>0</v>
      </c>
      <c r="BF23" s="1">
        <f t="shared" si="30"/>
        <v>3</v>
      </c>
      <c r="BG23" s="1">
        <f t="shared" si="31"/>
        <v>1</v>
      </c>
      <c r="BH23" s="1">
        <f t="shared" si="32"/>
        <v>1</v>
      </c>
      <c r="BI23" s="1">
        <f t="shared" si="33"/>
        <v>1</v>
      </c>
      <c r="BJ23" s="1">
        <f t="shared" si="34"/>
        <v>0</v>
      </c>
      <c r="BK23" s="1">
        <f t="shared" si="35"/>
        <v>1</v>
      </c>
      <c r="BL23" s="1">
        <f t="shared" si="36"/>
        <v>1</v>
      </c>
      <c r="BM23" s="1">
        <f t="shared" si="37"/>
        <v>0</v>
      </c>
      <c r="BN23" s="1">
        <f t="shared" si="38"/>
        <v>0</v>
      </c>
      <c r="BO23" s="1" t="e">
        <f t="shared" si="39"/>
        <v>#DIV/0!</v>
      </c>
      <c r="BP23" s="1" t="e">
        <f t="shared" si="40"/>
        <v>#DIV/0!</v>
      </c>
      <c r="BQ23" s="53" t="e">
        <f t="shared" si="41"/>
        <v>#DIV/0!</v>
      </c>
      <c r="BR23" s="54" t="e">
        <f t="shared" si="42"/>
        <v>#DIV/0!</v>
      </c>
      <c r="BS23" s="1" t="e">
        <f t="shared" si="43"/>
        <v>#DIV/0!</v>
      </c>
      <c r="BT23" s="1" t="e">
        <f t="shared" si="44"/>
        <v>#DIV/0!</v>
      </c>
      <c r="BU23" s="1" t="e">
        <f t="shared" si="45"/>
        <v>#DIV/0!</v>
      </c>
      <c r="BV23" s="1">
        <f t="shared" si="46"/>
        <v>5.25</v>
      </c>
      <c r="BW23" s="1" t="e">
        <f t="shared" si="47"/>
        <v>#DIV/0!</v>
      </c>
      <c r="BX23" s="1">
        <f t="shared" si="48"/>
        <v>11.97</v>
      </c>
      <c r="BY23" s="1" t="e">
        <f t="shared" si="49"/>
        <v>#DIV/0!</v>
      </c>
      <c r="BZ23" s="1">
        <f t="shared" si="50"/>
        <v>0.05</v>
      </c>
      <c r="CA23" s="1" t="e">
        <f t="shared" si="51"/>
        <v>#DIV/0!</v>
      </c>
      <c r="CB23" s="1" t="e">
        <f t="shared" si="52"/>
        <v>#DIV/0!</v>
      </c>
      <c r="CC23" s="1" t="e">
        <f t="shared" si="53"/>
        <v>#DIV/0!</v>
      </c>
      <c r="CD23" s="1">
        <f t="shared" si="54"/>
        <v>0</v>
      </c>
      <c r="CE23" s="1">
        <f t="shared" si="55"/>
        <v>0</v>
      </c>
      <c r="CF23" s="1" t="e">
        <f t="shared" si="56"/>
        <v>#DIV/0!</v>
      </c>
      <c r="CG23" s="1" t="e">
        <f t="shared" si="57"/>
        <v>#DIV/0!</v>
      </c>
      <c r="CH23" s="1" t="e">
        <f t="shared" si="58"/>
        <v>#DIV/0!</v>
      </c>
      <c r="CI23" s="1" t="e">
        <f t="shared" si="59"/>
        <v>#DIV/0!</v>
      </c>
      <c r="CJ23" s="1">
        <f t="shared" si="60"/>
        <v>0.5</v>
      </c>
      <c r="CK23" s="1" t="e">
        <f t="shared" si="61"/>
        <v>#DIV/0!</v>
      </c>
      <c r="CL23" s="2">
        <f t="shared" si="62"/>
        <v>0</v>
      </c>
      <c r="CM23" s="2" t="e">
        <f t="shared" si="63"/>
        <v>#DIV/0!</v>
      </c>
      <c r="CN23" s="2" t="e">
        <f t="shared" si="64"/>
        <v>#DIV/0!</v>
      </c>
      <c r="CO23" s="2" t="e">
        <f t="shared" si="65"/>
        <v>#DIV/0!</v>
      </c>
      <c r="CP23" s="2" t="e">
        <f t="shared" si="66"/>
        <v>#DIV/0!</v>
      </c>
      <c r="CQ23" s="2" t="e">
        <f t="shared" si="67"/>
        <v>#DIV/0!</v>
      </c>
      <c r="CR23" s="2" t="e">
        <f t="shared" si="68"/>
        <v>#DIV/0!</v>
      </c>
      <c r="CS23" s="2">
        <f t="shared" si="69"/>
        <v>0</v>
      </c>
      <c r="CT23" s="2" t="e">
        <f t="shared" si="70"/>
        <v>#DIV/0!</v>
      </c>
      <c r="CU23" s="2" t="e">
        <f t="shared" si="71"/>
        <v>#DIV/0!</v>
      </c>
      <c r="CV23" s="2" t="e">
        <f t="shared" si="72"/>
        <v>#DIV/0!</v>
      </c>
      <c r="CW23" s="2" t="e">
        <f t="shared" si="73"/>
        <v>#DIV/0!</v>
      </c>
      <c r="CX23" s="2" t="e">
        <f t="shared" si="74"/>
        <v>#DIV/0!</v>
      </c>
      <c r="CY23" s="2" t="e">
        <f t="shared" si="75"/>
        <v>#DIV/0!</v>
      </c>
      <c r="CZ23" s="2" t="e">
        <f t="shared" si="76"/>
        <v>#DIV/0!</v>
      </c>
      <c r="DA23" s="2" t="e">
        <f t="shared" si="77"/>
        <v>#DIV/0!</v>
      </c>
    </row>
    <row r="24" spans="1:105" ht="10.5">
      <c r="A24" s="45"/>
      <c r="B24" s="46"/>
      <c r="C24" s="47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  <c r="T24" s="49" t="e">
        <f t="shared" si="0"/>
        <v>#DIV/0!</v>
      </c>
      <c r="U24" s="49" t="e">
        <f t="shared" si="1"/>
        <v>#DIV/0!</v>
      </c>
      <c r="V24" s="50"/>
      <c r="W24" s="9"/>
      <c r="X24" s="49">
        <f t="shared" si="2"/>
        <v>0</v>
      </c>
      <c r="Y24" s="49">
        <f t="shared" si="3"/>
        <v>0</v>
      </c>
      <c r="Z24" s="49">
        <f t="shared" si="4"/>
        <v>0</v>
      </c>
      <c r="AA24" s="49" t="e">
        <f t="shared" si="5"/>
        <v>#DIV/0!</v>
      </c>
      <c r="AB24" s="49" t="e">
        <f t="shared" si="6"/>
        <v>#DIV/0!</v>
      </c>
      <c r="AC24" s="49">
        <f t="shared" si="7"/>
        <v>0</v>
      </c>
      <c r="AD24" s="51" t="e">
        <f t="shared" si="8"/>
        <v>#DIV/0!</v>
      </c>
      <c r="AE24" s="52" t="e">
        <f t="shared" si="9"/>
        <v>#DIV/0!</v>
      </c>
      <c r="AF24" s="53"/>
      <c r="AG24" s="52" t="e">
        <f t="shared" si="10"/>
        <v>#DIV/0!</v>
      </c>
      <c r="AH24" s="52" t="e">
        <f t="shared" si="11"/>
        <v>#DIV/0!</v>
      </c>
      <c r="AI24" s="54"/>
      <c r="AJ24" s="1" t="b">
        <f t="shared" si="12"/>
        <v>0</v>
      </c>
      <c r="AK24" s="1">
        <f t="shared" si="13"/>
        <v>6.9</v>
      </c>
      <c r="AL24" s="1">
        <f t="shared" si="14"/>
        <v>0</v>
      </c>
      <c r="AM24" s="1">
        <f t="shared" si="15"/>
        <v>0</v>
      </c>
      <c r="AN24" s="1">
        <f t="shared" si="16"/>
        <v>0</v>
      </c>
      <c r="AO24" s="1">
        <f t="shared" si="17"/>
        <v>1.542</v>
      </c>
      <c r="AP24" s="1">
        <f t="shared" si="18"/>
        <v>0.9</v>
      </c>
      <c r="AQ24" s="1">
        <f t="shared" si="19"/>
        <v>0.9</v>
      </c>
      <c r="AR24" s="1">
        <f t="shared" si="20"/>
        <v>0</v>
      </c>
      <c r="AS24" s="1">
        <f ca="1" t="shared" si="21"/>
        <v>0</v>
      </c>
      <c r="AT24" s="1">
        <f t="shared" si="22"/>
        <v>0</v>
      </c>
      <c r="AU24" s="1">
        <v>-0.096</v>
      </c>
      <c r="AV24" s="1">
        <v>4.6495</v>
      </c>
      <c r="AW24" s="1">
        <v>-0.1251</v>
      </c>
      <c r="AX24" s="1">
        <v>6.27</v>
      </c>
      <c r="AY24" s="1">
        <f t="shared" si="23"/>
        <v>1</v>
      </c>
      <c r="AZ24" s="1">
        <f t="shared" si="24"/>
        <v>-0.1251</v>
      </c>
      <c r="BA24" s="1">
        <f t="shared" si="25"/>
        <v>6.27</v>
      </c>
      <c r="BB24" s="1">
        <f t="shared" si="26"/>
        <v>-0.1251</v>
      </c>
      <c r="BC24" s="1">
        <f t="shared" si="27"/>
        <v>6.27</v>
      </c>
      <c r="BD24" s="1">
        <f t="shared" si="28"/>
        <v>6.27</v>
      </c>
      <c r="BE24" s="1">
        <f t="shared" si="29"/>
        <v>0</v>
      </c>
      <c r="BF24" s="1">
        <f t="shared" si="30"/>
        <v>3</v>
      </c>
      <c r="BG24" s="1">
        <f t="shared" si="31"/>
        <v>1</v>
      </c>
      <c r="BH24" s="1">
        <f t="shared" si="32"/>
        <v>1</v>
      </c>
      <c r="BI24" s="1">
        <f t="shared" si="33"/>
        <v>1</v>
      </c>
      <c r="BJ24" s="1">
        <f t="shared" si="34"/>
        <v>0</v>
      </c>
      <c r="BK24" s="1">
        <f t="shared" si="35"/>
        <v>1</v>
      </c>
      <c r="BL24" s="1">
        <f t="shared" si="36"/>
        <v>1</v>
      </c>
      <c r="BM24" s="1">
        <f t="shared" si="37"/>
        <v>0</v>
      </c>
      <c r="BN24" s="1">
        <f t="shared" si="38"/>
        <v>0</v>
      </c>
      <c r="BO24" s="1" t="e">
        <f t="shared" si="39"/>
        <v>#DIV/0!</v>
      </c>
      <c r="BP24" s="1" t="e">
        <f t="shared" si="40"/>
        <v>#DIV/0!</v>
      </c>
      <c r="BQ24" s="53" t="e">
        <f t="shared" si="41"/>
        <v>#DIV/0!</v>
      </c>
      <c r="BR24" s="54" t="e">
        <f t="shared" si="42"/>
        <v>#DIV/0!</v>
      </c>
      <c r="BS24" s="1" t="e">
        <f t="shared" si="43"/>
        <v>#DIV/0!</v>
      </c>
      <c r="BT24" s="1" t="e">
        <f t="shared" si="44"/>
        <v>#DIV/0!</v>
      </c>
      <c r="BU24" s="1" t="e">
        <f t="shared" si="45"/>
        <v>#DIV/0!</v>
      </c>
      <c r="BV24" s="1">
        <f t="shared" si="46"/>
        <v>5.25</v>
      </c>
      <c r="BW24" s="1" t="e">
        <f t="shared" si="47"/>
        <v>#DIV/0!</v>
      </c>
      <c r="BX24" s="1">
        <f t="shared" si="48"/>
        <v>11.97</v>
      </c>
      <c r="BY24" s="1" t="e">
        <f t="shared" si="49"/>
        <v>#DIV/0!</v>
      </c>
      <c r="BZ24" s="1">
        <f t="shared" si="50"/>
        <v>0.05</v>
      </c>
      <c r="CA24" s="1" t="e">
        <f t="shared" si="51"/>
        <v>#DIV/0!</v>
      </c>
      <c r="CB24" s="1" t="e">
        <f t="shared" si="52"/>
        <v>#DIV/0!</v>
      </c>
      <c r="CC24" s="1" t="e">
        <f t="shared" si="53"/>
        <v>#DIV/0!</v>
      </c>
      <c r="CD24" s="1">
        <f t="shared" si="54"/>
        <v>0</v>
      </c>
      <c r="CE24" s="1">
        <f t="shared" si="55"/>
        <v>0</v>
      </c>
      <c r="CF24" s="1" t="e">
        <f t="shared" si="56"/>
        <v>#DIV/0!</v>
      </c>
      <c r="CG24" s="1" t="e">
        <f t="shared" si="57"/>
        <v>#DIV/0!</v>
      </c>
      <c r="CH24" s="1" t="e">
        <f t="shared" si="58"/>
        <v>#DIV/0!</v>
      </c>
      <c r="CI24" s="1" t="e">
        <f t="shared" si="59"/>
        <v>#DIV/0!</v>
      </c>
      <c r="CJ24" s="1">
        <f t="shared" si="60"/>
        <v>0.5</v>
      </c>
      <c r="CK24" s="1" t="e">
        <f t="shared" si="61"/>
        <v>#DIV/0!</v>
      </c>
      <c r="CL24" s="2">
        <f t="shared" si="62"/>
        <v>0</v>
      </c>
      <c r="CM24" s="2" t="e">
        <f t="shared" si="63"/>
        <v>#DIV/0!</v>
      </c>
      <c r="CN24" s="2" t="e">
        <f t="shared" si="64"/>
        <v>#DIV/0!</v>
      </c>
      <c r="CO24" s="2" t="e">
        <f t="shared" si="65"/>
        <v>#DIV/0!</v>
      </c>
      <c r="CP24" s="2" t="e">
        <f t="shared" si="66"/>
        <v>#DIV/0!</v>
      </c>
      <c r="CQ24" s="2" t="e">
        <f t="shared" si="67"/>
        <v>#DIV/0!</v>
      </c>
      <c r="CR24" s="2" t="e">
        <f t="shared" si="68"/>
        <v>#DIV/0!</v>
      </c>
      <c r="CS24" s="2">
        <f t="shared" si="69"/>
        <v>0</v>
      </c>
      <c r="CT24" s="2" t="e">
        <f t="shared" si="70"/>
        <v>#DIV/0!</v>
      </c>
      <c r="CU24" s="2" t="e">
        <f t="shared" si="71"/>
        <v>#DIV/0!</v>
      </c>
      <c r="CV24" s="2" t="e">
        <f t="shared" si="72"/>
        <v>#DIV/0!</v>
      </c>
      <c r="CW24" s="2" t="e">
        <f t="shared" si="73"/>
        <v>#DIV/0!</v>
      </c>
      <c r="CX24" s="2" t="e">
        <f t="shared" si="74"/>
        <v>#DIV/0!</v>
      </c>
      <c r="CY24" s="2" t="e">
        <f t="shared" si="75"/>
        <v>#DIV/0!</v>
      </c>
      <c r="CZ24" s="2" t="e">
        <f t="shared" si="76"/>
        <v>#DIV/0!</v>
      </c>
      <c r="DA24" s="2" t="e">
        <f t="shared" si="77"/>
        <v>#DIV/0!</v>
      </c>
    </row>
    <row r="25" spans="1:105" ht="10.5">
      <c r="A25" s="45"/>
      <c r="B25" s="46"/>
      <c r="C25" s="47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8"/>
      <c r="T25" s="49" t="e">
        <f t="shared" si="0"/>
        <v>#DIV/0!</v>
      </c>
      <c r="U25" s="49" t="e">
        <f t="shared" si="1"/>
        <v>#DIV/0!</v>
      </c>
      <c r="V25" s="50"/>
      <c r="W25" s="9"/>
      <c r="X25" s="49">
        <f t="shared" si="2"/>
        <v>0</v>
      </c>
      <c r="Y25" s="49">
        <f t="shared" si="3"/>
        <v>0</v>
      </c>
      <c r="Z25" s="49">
        <f t="shared" si="4"/>
        <v>0</v>
      </c>
      <c r="AA25" s="49" t="e">
        <f t="shared" si="5"/>
        <v>#DIV/0!</v>
      </c>
      <c r="AB25" s="49" t="e">
        <f t="shared" si="6"/>
        <v>#DIV/0!</v>
      </c>
      <c r="AC25" s="49">
        <f t="shared" si="7"/>
        <v>0</v>
      </c>
      <c r="AD25" s="51" t="e">
        <f t="shared" si="8"/>
        <v>#DIV/0!</v>
      </c>
      <c r="AE25" s="52" t="e">
        <f t="shared" si="9"/>
        <v>#DIV/0!</v>
      </c>
      <c r="AF25" s="53"/>
      <c r="AG25" s="52" t="e">
        <f t="shared" si="10"/>
        <v>#DIV/0!</v>
      </c>
      <c r="AH25" s="52" t="e">
        <f t="shared" si="11"/>
        <v>#DIV/0!</v>
      </c>
      <c r="AI25" s="54"/>
      <c r="AJ25" s="1" t="b">
        <f t="shared" si="12"/>
        <v>0</v>
      </c>
      <c r="AK25" s="1">
        <f t="shared" si="13"/>
        <v>6.9</v>
      </c>
      <c r="AL25" s="1">
        <f t="shared" si="14"/>
        <v>0</v>
      </c>
      <c r="AM25" s="1">
        <f t="shared" si="15"/>
        <v>0</v>
      </c>
      <c r="AN25" s="1">
        <f t="shared" si="16"/>
        <v>0</v>
      </c>
      <c r="AO25" s="1">
        <f t="shared" si="17"/>
        <v>1.542</v>
      </c>
      <c r="AP25" s="1">
        <f t="shared" si="18"/>
        <v>0.9</v>
      </c>
      <c r="AQ25" s="1">
        <f t="shared" si="19"/>
        <v>0.9</v>
      </c>
      <c r="AR25" s="1">
        <f t="shared" si="20"/>
        <v>0</v>
      </c>
      <c r="AS25" s="1">
        <f ca="1" t="shared" si="21"/>
        <v>0</v>
      </c>
      <c r="AT25" s="1">
        <f t="shared" si="22"/>
        <v>0</v>
      </c>
      <c r="AU25" s="1">
        <v>-0.096</v>
      </c>
      <c r="AV25" s="1">
        <v>4.6495</v>
      </c>
      <c r="AW25" s="1">
        <v>-0.1251</v>
      </c>
      <c r="AX25" s="1">
        <v>6.27</v>
      </c>
      <c r="AY25" s="1">
        <f t="shared" si="23"/>
        <v>1</v>
      </c>
      <c r="AZ25" s="1">
        <f t="shared" si="24"/>
        <v>-0.1251</v>
      </c>
      <c r="BA25" s="1">
        <f t="shared" si="25"/>
        <v>6.27</v>
      </c>
      <c r="BB25" s="1">
        <f t="shared" si="26"/>
        <v>-0.1251</v>
      </c>
      <c r="BC25" s="1">
        <f t="shared" si="27"/>
        <v>6.27</v>
      </c>
      <c r="BD25" s="1">
        <f t="shared" si="28"/>
        <v>6.27</v>
      </c>
      <c r="BE25" s="1">
        <f t="shared" si="29"/>
        <v>0</v>
      </c>
      <c r="BF25" s="1">
        <f t="shared" si="30"/>
        <v>3</v>
      </c>
      <c r="BG25" s="1">
        <f t="shared" si="31"/>
        <v>1</v>
      </c>
      <c r="BH25" s="1">
        <f t="shared" si="32"/>
        <v>1</v>
      </c>
      <c r="BI25" s="1">
        <f t="shared" si="33"/>
        <v>1</v>
      </c>
      <c r="BJ25" s="1">
        <f t="shared" si="34"/>
        <v>0</v>
      </c>
      <c r="BK25" s="1">
        <f t="shared" si="35"/>
        <v>1</v>
      </c>
      <c r="BL25" s="1">
        <f t="shared" si="36"/>
        <v>1</v>
      </c>
      <c r="BM25" s="1">
        <f t="shared" si="37"/>
        <v>0</v>
      </c>
      <c r="BN25" s="1">
        <f t="shared" si="38"/>
        <v>0</v>
      </c>
      <c r="BO25" s="1" t="e">
        <f t="shared" si="39"/>
        <v>#DIV/0!</v>
      </c>
      <c r="BP25" s="1" t="e">
        <f t="shared" si="40"/>
        <v>#DIV/0!</v>
      </c>
      <c r="BQ25" s="53" t="e">
        <f t="shared" si="41"/>
        <v>#DIV/0!</v>
      </c>
      <c r="BR25" s="54" t="e">
        <f t="shared" si="42"/>
        <v>#DIV/0!</v>
      </c>
      <c r="BS25" s="1" t="e">
        <f t="shared" si="43"/>
        <v>#DIV/0!</v>
      </c>
      <c r="BT25" s="1" t="e">
        <f t="shared" si="44"/>
        <v>#DIV/0!</v>
      </c>
      <c r="BU25" s="1" t="e">
        <f t="shared" si="45"/>
        <v>#DIV/0!</v>
      </c>
      <c r="BV25" s="1">
        <f t="shared" si="46"/>
        <v>5.25</v>
      </c>
      <c r="BW25" s="1" t="e">
        <f t="shared" si="47"/>
        <v>#DIV/0!</v>
      </c>
      <c r="BX25" s="1">
        <f t="shared" si="48"/>
        <v>11.97</v>
      </c>
      <c r="BY25" s="1" t="e">
        <f t="shared" si="49"/>
        <v>#DIV/0!</v>
      </c>
      <c r="BZ25" s="1">
        <f t="shared" si="50"/>
        <v>0.05</v>
      </c>
      <c r="CA25" s="1" t="e">
        <f t="shared" si="51"/>
        <v>#DIV/0!</v>
      </c>
      <c r="CB25" s="1" t="e">
        <f t="shared" si="52"/>
        <v>#DIV/0!</v>
      </c>
      <c r="CC25" s="1" t="e">
        <f t="shared" si="53"/>
        <v>#DIV/0!</v>
      </c>
      <c r="CD25" s="1">
        <f t="shared" si="54"/>
        <v>0</v>
      </c>
      <c r="CE25" s="1">
        <f t="shared" si="55"/>
        <v>0</v>
      </c>
      <c r="CF25" s="1" t="e">
        <f t="shared" si="56"/>
        <v>#DIV/0!</v>
      </c>
      <c r="CG25" s="1" t="e">
        <f t="shared" si="57"/>
        <v>#DIV/0!</v>
      </c>
      <c r="CH25" s="1" t="e">
        <f t="shared" si="58"/>
        <v>#DIV/0!</v>
      </c>
      <c r="CI25" s="1" t="e">
        <f t="shared" si="59"/>
        <v>#DIV/0!</v>
      </c>
      <c r="CJ25" s="1">
        <f t="shared" si="60"/>
        <v>0.5</v>
      </c>
      <c r="CK25" s="1" t="e">
        <f t="shared" si="61"/>
        <v>#DIV/0!</v>
      </c>
      <c r="CL25" s="2">
        <f t="shared" si="62"/>
        <v>0</v>
      </c>
      <c r="CM25" s="2" t="e">
        <f t="shared" si="63"/>
        <v>#DIV/0!</v>
      </c>
      <c r="CN25" s="2" t="e">
        <f t="shared" si="64"/>
        <v>#DIV/0!</v>
      </c>
      <c r="CO25" s="2" t="e">
        <f t="shared" si="65"/>
        <v>#DIV/0!</v>
      </c>
      <c r="CP25" s="2" t="e">
        <f t="shared" si="66"/>
        <v>#DIV/0!</v>
      </c>
      <c r="CQ25" s="2" t="e">
        <f t="shared" si="67"/>
        <v>#DIV/0!</v>
      </c>
      <c r="CR25" s="2" t="e">
        <f t="shared" si="68"/>
        <v>#DIV/0!</v>
      </c>
      <c r="CS25" s="2">
        <f t="shared" si="69"/>
        <v>0</v>
      </c>
      <c r="CT25" s="2" t="e">
        <f t="shared" si="70"/>
        <v>#DIV/0!</v>
      </c>
      <c r="CU25" s="2" t="e">
        <f t="shared" si="71"/>
        <v>#DIV/0!</v>
      </c>
      <c r="CV25" s="2" t="e">
        <f t="shared" si="72"/>
        <v>#DIV/0!</v>
      </c>
      <c r="CW25" s="2" t="e">
        <f t="shared" si="73"/>
        <v>#DIV/0!</v>
      </c>
      <c r="CX25" s="2" t="e">
        <f t="shared" si="74"/>
        <v>#DIV/0!</v>
      </c>
      <c r="CY25" s="2" t="e">
        <f t="shared" si="75"/>
        <v>#DIV/0!</v>
      </c>
      <c r="CZ25" s="2" t="e">
        <f t="shared" si="76"/>
        <v>#DIV/0!</v>
      </c>
      <c r="DA25" s="2" t="e">
        <f t="shared" si="77"/>
        <v>#DIV/0!</v>
      </c>
    </row>
    <row r="26" ht="10.5">
      <c r="A26" s="8" t="s">
        <v>139</v>
      </c>
    </row>
  </sheetData>
  <sheetProtection password="C208" sheet="1" objects="1"/>
  <printOptions/>
  <pageMargins left="0.5" right="0.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nyonker</cp:lastModifiedBy>
  <dcterms:modified xsi:type="dcterms:W3CDTF">2005-03-09T16:19:09Z</dcterms:modified>
  <cp:category/>
  <cp:version/>
  <cp:contentType/>
  <cp:contentStatus/>
</cp:coreProperties>
</file>